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K:\Spatial Planning\Planning Policy\Forums-Groups-Meetings\Norfolk Strategic Framework\Nutrient Neutrality\"/>
    </mc:Choice>
  </mc:AlternateContent>
  <xr:revisionPtr revIDLastSave="0" documentId="8_{AA59AFD8-C359-4077-A122-FD798CE55885}" xr6:coauthVersionLast="47" xr6:coauthVersionMax="47" xr10:uidLastSave="{00000000-0000-0000-0000-000000000000}"/>
  <workbookProtection workbookAlgorithmName="SHA-512" workbookHashValue="jLwl+diiU1TT5sIV37X8GVGSMI4Esdqk9wHtoflYdgtq95MXT8fD9V011wdduUmku+kEGm1fIJ2OtBml3r147Q==" workbookSaltValue="1OWwIIM75WfjlnelnF5M3g==" workbookSpinCount="100000" lockStructure="1"/>
  <bookViews>
    <workbookView xWindow="-108" yWindow="-108" windowWidth="23256" windowHeight="12576" xr2:uid="{BE6BC844-1511-4CC1-AB95-7E453621EEBF}"/>
  </bookViews>
  <sheets>
    <sheet name="Introduction" sheetId="8" r:id="rId1"/>
    <sheet name="Info" sheetId="3" r:id="rId2"/>
    <sheet name="Stage 1" sheetId="1" r:id="rId3"/>
    <sheet name="Stage 2" sheetId="4" r:id="rId4"/>
    <sheet name="Stage 3" sheetId="5" r:id="rId5"/>
    <sheet name="Stage 4" sheetId="6" r:id="rId6"/>
    <sheet name="Mitigation - current" sheetId="7" r:id="rId7"/>
    <sheet name="Mitigation - post 2025" sheetId="28" r:id="rId8"/>
    <sheet name="Mitigation - post 2030" sheetId="30" r:id="rId9"/>
    <sheet name="Mitigation comparison" sheetId="14" r:id="rId10"/>
    <sheet name="Zero value Calc" sheetId="18" r:id="rId11"/>
    <sheet name="Graph Calculations" sheetId="19" state="hidden" r:id="rId12"/>
    <sheet name="Rainfall" sheetId="29" r:id="rId13"/>
    <sheet name="Data Tables" sheetId="2" state="hidden" r:id="rId14"/>
    <sheet name="_SSC" sheetId="17" state="veryHidden" r:id="rId15"/>
  </sheets>
  <definedNames>
    <definedName name="_Ctrl_1" hidden="1">Introduction!#REF!</definedName>
    <definedName name="_Ctrl_2" hidden="1">Introduction!$C$181</definedName>
    <definedName name="_Ctrl_3" hidden="1">Introduction!$C$183</definedName>
    <definedName name="_Ctrl_4" hidden="1">Introduction!$C$40</definedName>
    <definedName name="_Ctrl_5" hidden="1">Info!$C$13</definedName>
    <definedName name="_Ctrl_6" hidden="1">Info!$E$8</definedName>
    <definedName name="_Ctrl_65" hidden="1">'Zero value Calc'!#REF!</definedName>
    <definedName name="_Ctrl_7" hidden="1">Info!$E$6</definedName>
    <definedName name="_ctrl_ram_63" localSheetId="11" hidden="1">'Graph Calculations'!#REF!</definedName>
    <definedName name="_ctrl_ram_63" hidden="1">'Zero value Calc'!$K$15</definedName>
    <definedName name="_dep_ram_63" localSheetId="11" hidden="1">'Graph Calculations'!$E$5:$AB$14</definedName>
    <definedName name="_dep_ram_63" hidden="1">'Zero value Calc'!#REF!</definedName>
    <definedName name="No" localSheetId="11">'Graph Calculations'!#REF!</definedName>
    <definedName name="No" localSheetId="10">'Zero value Calc'!#REF!</definedName>
    <definedName name="No">'Stage 4'!#REF!</definedName>
    <definedName name="OsTWs" localSheetId="7">Table3[Treatment type]</definedName>
    <definedName name="OsTWs" localSheetId="8">Table3[Treatment type]</definedName>
    <definedName name="OsTWs">Table3[Treatment type]</definedName>
    <definedName name="permit">'Data Tables'!$B$3:$D$86</definedName>
    <definedName name="permits">'Data Tables'!$B$3:$I$86</definedName>
    <definedName name="permits_2030">Table1[]</definedName>
    <definedName name="_xlnm.Print_Area" localSheetId="13">'Data Tables'!$B$2:$X$24</definedName>
    <definedName name="_xlnm.Print_Area" localSheetId="11">'Graph Calculations'!$B$2:$C$52</definedName>
    <definedName name="_xlnm.Print_Area" localSheetId="1">Info!$B$3:$N$17</definedName>
    <definedName name="_xlnm.Print_Area" localSheetId="0">Introduction!$B$2:$Q$226</definedName>
    <definedName name="_xlnm.Print_Area" localSheetId="6">'Mitigation - current'!$B$2:$AC$89</definedName>
    <definedName name="_xlnm.Print_Area" localSheetId="7">'Mitigation - post 2025'!$B$2:$AA$88</definedName>
    <definedName name="_xlnm.Print_Area" localSheetId="8">'Mitigation - post 2030'!$B$2:$AC$89</definedName>
    <definedName name="_xlnm.Print_Area" localSheetId="9">'Mitigation comparison'!$B$2:$S$17</definedName>
    <definedName name="_xlnm.Print_Area" localSheetId="2">'Stage 1'!$C$2:$AI$70</definedName>
    <definedName name="_xlnm.Print_Area" localSheetId="3">'Stage 2'!$B$2:$T$48</definedName>
    <definedName name="_xlnm.Print_Area" localSheetId="4">'Stage 3'!$B$2:$N$40</definedName>
    <definedName name="_xlnm.Print_Area" localSheetId="5">'Stage 4'!$B$2:$U$60</definedName>
    <definedName name="_xlnm.Print_Area" localSheetId="10">'Zero value Calc'!$B$2:$C$54</definedName>
    <definedName name="_xlnm.Print_Titles" localSheetId="13">'Data Tables'!$2:$2</definedName>
    <definedName name="Taunton">'Data Tables'!#REF!</definedName>
    <definedName name="Unknown">'Data Tables'!#REF!</definedName>
    <definedName name="w">'Data Tables'!$B$10:$B$24</definedName>
    <definedName name="Wastewater">'Data Tables'!$B$3:$B$86</definedName>
    <definedName name="WwTW">'Data Tables'!$B$10:$B$24</definedName>
    <definedName name="WwTWs">'Stage 1'!$E$40</definedName>
    <definedName name="Yes" localSheetId="11">'Graph Calculations'!#REF!</definedName>
    <definedName name="Yes" localSheetId="10">'Zero value Calc'!$I$29</definedName>
    <definedName name="Yes">'Stage 4'!#REF!</definedName>
  </definedNames>
  <calcPr calcId="191029"/>
  <webPublishObjects count="1">
    <webPublishObject id="9817" divId="Norfolk budget Calc_V1.0_9817" destinationFile="C:\Users\305327\Documents\Environmental Services proposals\Norfolk Nutrients Opportunity\Calculator\Norfolk budget Calc_V1.0.htm" title="Norfolk Nutrient Calculator"/>
  </webPublishObject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5" i="1" l="1"/>
  <c r="V28" i="1"/>
  <c r="O35" i="4"/>
  <c r="AB40" i="30"/>
  <c r="AA40" i="30"/>
  <c r="AB39" i="30"/>
  <c r="AA39" i="30"/>
  <c r="AB38" i="30"/>
  <c r="AA38" i="30"/>
  <c r="AB37" i="30"/>
  <c r="AA37" i="30"/>
  <c r="AB36" i="30"/>
  <c r="AA36" i="30"/>
  <c r="AB35" i="30"/>
  <c r="AA35" i="30"/>
  <c r="AB34" i="30"/>
  <c r="AA34" i="30"/>
  <c r="AB33" i="30"/>
  <c r="AA33" i="30"/>
  <c r="AB32" i="30"/>
  <c r="AA32" i="30"/>
  <c r="Y39" i="28"/>
  <c r="AA40" i="7"/>
  <c r="AB32" i="7"/>
  <c r="AB33" i="7"/>
  <c r="AB34" i="7"/>
  <c r="AB35" i="7"/>
  <c r="AB36" i="7"/>
  <c r="AB37" i="7"/>
  <c r="AB38" i="7"/>
  <c r="AB40" i="7"/>
  <c r="AB39" i="7"/>
  <c r="AA39" i="7"/>
  <c r="K75" i="2"/>
  <c r="J75" i="2"/>
  <c r="K67" i="2"/>
  <c r="J67" i="2"/>
  <c r="K60" i="2"/>
  <c r="J60" i="2"/>
  <c r="K58" i="2"/>
  <c r="J58" i="2"/>
  <c r="K57" i="2"/>
  <c r="J57" i="2"/>
  <c r="K54" i="2"/>
  <c r="J54" i="2"/>
  <c r="K52" i="2"/>
  <c r="J52" i="2"/>
  <c r="K31" i="2"/>
  <c r="J31" i="2"/>
  <c r="K19" i="2"/>
  <c r="J19" i="2"/>
  <c r="K38" i="5"/>
  <c r="Q35" i="4"/>
  <c r="K36" i="5"/>
  <c r="O34" i="4" l="1"/>
  <c r="G6" i="2" l="1"/>
  <c r="G27" i="2"/>
  <c r="G54" i="2"/>
  <c r="G85" i="2"/>
  <c r="G77" i="2"/>
  <c r="G67" i="2"/>
  <c r="D6" i="2"/>
  <c r="D27" i="2"/>
  <c r="D54" i="2"/>
  <c r="D85" i="2" l="1"/>
  <c r="D75" i="2"/>
  <c r="Q28" i="4" l="1"/>
  <c r="Q27" i="4"/>
  <c r="O27" i="4"/>
  <c r="AB59" i="2" l="1"/>
  <c r="F22" i="4" l="1"/>
  <c r="K6" i="2" l="1"/>
  <c r="K10" i="2"/>
  <c r="K14" i="2"/>
  <c r="K15" i="2"/>
  <c r="K16" i="2"/>
  <c r="K23" i="2"/>
  <c r="K27" i="2"/>
  <c r="K29" i="2"/>
  <c r="K40" i="2"/>
  <c r="K50" i="2"/>
  <c r="K51" i="2"/>
  <c r="K55" i="2"/>
  <c r="K70" i="2"/>
  <c r="K77" i="2"/>
  <c r="K85" i="2"/>
  <c r="K86" i="2"/>
  <c r="J6" i="2" l="1"/>
  <c r="J10" i="2"/>
  <c r="J14" i="2"/>
  <c r="J15" i="2"/>
  <c r="J16" i="2"/>
  <c r="J23" i="2"/>
  <c r="J27" i="2"/>
  <c r="J29" i="2"/>
  <c r="J40" i="2"/>
  <c r="J50" i="2"/>
  <c r="J51" i="2"/>
  <c r="J55" i="2"/>
  <c r="J70" i="2"/>
  <c r="J77" i="2"/>
  <c r="J85" i="2"/>
  <c r="J86" i="2"/>
  <c r="G52" i="2"/>
  <c r="G50" i="2"/>
  <c r="M8" i="14"/>
  <c r="M9" i="14"/>
  <c r="M10" i="14"/>
  <c r="M11" i="14"/>
  <c r="M7" i="14"/>
  <c r="M87" i="30"/>
  <c r="K87" i="30"/>
  <c r="R72" i="30"/>
  <c r="R71" i="30"/>
  <c r="P71" i="30"/>
  <c r="R70" i="30"/>
  <c r="P70" i="30"/>
  <c r="R69" i="30"/>
  <c r="P69" i="30"/>
  <c r="R68" i="30"/>
  <c r="P68" i="30"/>
  <c r="R67" i="30"/>
  <c r="P67" i="30"/>
  <c r="M46" i="30"/>
  <c r="K46" i="30"/>
  <c r="AB44" i="30"/>
  <c r="AA44" i="30"/>
  <c r="K44" i="30"/>
  <c r="E44" i="30"/>
  <c r="T44" i="30" s="1"/>
  <c r="AB43" i="30"/>
  <c r="AA43" i="30"/>
  <c r="K43" i="30"/>
  <c r="E43" i="30"/>
  <c r="T43" i="30" s="1"/>
  <c r="AB42" i="30"/>
  <c r="AA42" i="30"/>
  <c r="K42" i="30"/>
  <c r="E42" i="30"/>
  <c r="T42" i="30" s="1"/>
  <c r="AB41" i="30"/>
  <c r="AA41" i="30"/>
  <c r="K41" i="30"/>
  <c r="E41" i="30"/>
  <c r="T41" i="30" s="1"/>
  <c r="K40" i="30"/>
  <c r="E39" i="30"/>
  <c r="T39" i="30" s="1"/>
  <c r="E38" i="30"/>
  <c r="T38" i="30" s="1"/>
  <c r="T37" i="30"/>
  <c r="M37" i="30"/>
  <c r="K37" i="30"/>
  <c r="E37" i="30"/>
  <c r="E36" i="30"/>
  <c r="T36" i="30" s="1"/>
  <c r="T35" i="30"/>
  <c r="E35" i="30"/>
  <c r="E34" i="30"/>
  <c r="T34" i="30" s="1"/>
  <c r="M33" i="30"/>
  <c r="E33" i="30"/>
  <c r="T33" i="30" s="1"/>
  <c r="E32" i="30"/>
  <c r="T32" i="30" s="1"/>
  <c r="AB31" i="30"/>
  <c r="AA31" i="30"/>
  <c r="M31" i="30"/>
  <c r="K31" i="30"/>
  <c r="AB30" i="30"/>
  <c r="AA30" i="30"/>
  <c r="M30" i="30"/>
  <c r="K30" i="30"/>
  <c r="AB29" i="30"/>
  <c r="AA29" i="30"/>
  <c r="M29" i="30"/>
  <c r="K29" i="30"/>
  <c r="AB28" i="30"/>
  <c r="AA28" i="30"/>
  <c r="M28" i="30"/>
  <c r="K28" i="30"/>
  <c r="AB27" i="30"/>
  <c r="AA27" i="30"/>
  <c r="M27" i="30"/>
  <c r="K27" i="30"/>
  <c r="M53" i="1"/>
  <c r="M52" i="1"/>
  <c r="Z46" i="30" l="1"/>
  <c r="R49" i="30" s="1"/>
  <c r="R83" i="30" s="1"/>
  <c r="Y46" i="30"/>
  <c r="P49" i="30" s="1"/>
  <c r="R74" i="30"/>
  <c r="P83" i="30" l="1"/>
  <c r="P72" i="30"/>
  <c r="P85" i="30"/>
  <c r="P84" i="30"/>
  <c r="P82" i="30"/>
  <c r="P80" i="30"/>
  <c r="R85" i="30"/>
  <c r="R84" i="30"/>
  <c r="R82" i="30"/>
  <c r="R80" i="30"/>
  <c r="M12" i="14" l="1"/>
  <c r="P74" i="30"/>
  <c r="R10" i="6" l="1"/>
  <c r="K45" i="28" l="1"/>
  <c r="M46" i="7"/>
  <c r="K46" i="7"/>
  <c r="R67" i="7" l="1"/>
  <c r="R68" i="7"/>
  <c r="R69" i="7"/>
  <c r="O68" i="28"/>
  <c r="O67" i="28"/>
  <c r="P69" i="7"/>
  <c r="AA31" i="7"/>
  <c r="P71" i="7"/>
  <c r="P70" i="7"/>
  <c r="P67" i="7"/>
  <c r="K7" i="14" s="1"/>
  <c r="Y38" i="28"/>
  <c r="Y37" i="28"/>
  <c r="Y36" i="28"/>
  <c r="Y35" i="28"/>
  <c r="Y34" i="28"/>
  <c r="Y33" i="28"/>
  <c r="Y32" i="28"/>
  <c r="Y31" i="28"/>
  <c r="AA32" i="7"/>
  <c r="Y41" i="28"/>
  <c r="Y40" i="28"/>
  <c r="Y42" i="28"/>
  <c r="Y43" i="28"/>
  <c r="Y30" i="28"/>
  <c r="Y29" i="28"/>
  <c r="Y28" i="28"/>
  <c r="Y27" i="28"/>
  <c r="Y26" i="28"/>
  <c r="K43" i="28"/>
  <c r="K41" i="28"/>
  <c r="K40" i="28"/>
  <c r="K39" i="28"/>
  <c r="K36" i="28"/>
  <c r="K26" i="28"/>
  <c r="K27" i="7"/>
  <c r="K42" i="28"/>
  <c r="K29" i="28"/>
  <c r="K28" i="28"/>
  <c r="K27" i="28"/>
  <c r="K40" i="7"/>
  <c r="AB31" i="7"/>
  <c r="AB30" i="7"/>
  <c r="AB29" i="7"/>
  <c r="AB28" i="7"/>
  <c r="AB27" i="7"/>
  <c r="AA30" i="7"/>
  <c r="AA29" i="7"/>
  <c r="AA28" i="7"/>
  <c r="AA27" i="7"/>
  <c r="M27" i="7"/>
  <c r="M28" i="7"/>
  <c r="M29" i="7"/>
  <c r="M30" i="7"/>
  <c r="M31" i="7"/>
  <c r="AA33" i="7"/>
  <c r="AA34" i="7"/>
  <c r="AA35" i="7"/>
  <c r="AA36" i="7"/>
  <c r="AA37" i="7"/>
  <c r="AA38" i="7"/>
  <c r="M33" i="7"/>
  <c r="M37" i="7"/>
  <c r="K37" i="7"/>
  <c r="Q29" i="4"/>
  <c r="M34" i="30" s="1"/>
  <c r="Q30" i="4"/>
  <c r="M35" i="30" s="1"/>
  <c r="Q31" i="4"/>
  <c r="M36" i="30" s="1"/>
  <c r="Q32" i="4"/>
  <c r="Q33" i="4"/>
  <c r="Q34" i="4"/>
  <c r="M39" i="30" s="1"/>
  <c r="O28" i="4"/>
  <c r="K33" i="30" s="1"/>
  <c r="O29" i="4"/>
  <c r="K34" i="30" s="1"/>
  <c r="O30" i="4"/>
  <c r="K35" i="30" s="1"/>
  <c r="O31" i="4"/>
  <c r="K36" i="30" s="1"/>
  <c r="O32" i="4"/>
  <c r="O33" i="4"/>
  <c r="K39" i="30"/>
  <c r="AB51" i="2"/>
  <c r="F26" i="4"/>
  <c r="E31" i="30" s="1"/>
  <c r="T31" i="30" s="1"/>
  <c r="F25" i="4"/>
  <c r="E30" i="30" s="1"/>
  <c r="T30" i="30" s="1"/>
  <c r="F24" i="4"/>
  <c r="E29" i="30" s="1"/>
  <c r="T29" i="30" s="1"/>
  <c r="F23" i="4"/>
  <c r="E28" i="30" s="1"/>
  <c r="T28" i="30" s="1"/>
  <c r="E27" i="30"/>
  <c r="T27" i="30" s="1"/>
  <c r="AB55" i="2"/>
  <c r="AB54" i="2"/>
  <c r="AB53" i="2"/>
  <c r="AB58" i="2" s="1"/>
  <c r="AB52" i="2"/>
  <c r="AE47" i="2" s="1"/>
  <c r="AB45" i="2"/>
  <c r="AB44" i="2"/>
  <c r="AB43" i="2"/>
  <c r="AB42" i="2"/>
  <c r="AB41" i="2"/>
  <c r="AB40" i="2"/>
  <c r="AB39" i="2"/>
  <c r="K33" i="7" l="1"/>
  <c r="K32" i="28"/>
  <c r="M35" i="7"/>
  <c r="K35" i="7"/>
  <c r="K34" i="28"/>
  <c r="K34" i="7"/>
  <c r="M34" i="7"/>
  <c r="K33" i="28"/>
  <c r="M36" i="7"/>
  <c r="K35" i="28"/>
  <c r="K36" i="7"/>
  <c r="K38" i="28"/>
  <c r="M39" i="7"/>
  <c r="K39" i="7"/>
  <c r="K37" i="28"/>
  <c r="K38" i="30"/>
  <c r="M38" i="7"/>
  <c r="M38" i="30"/>
  <c r="K32" i="7"/>
  <c r="K32" i="30"/>
  <c r="M32" i="7"/>
  <c r="M32" i="30"/>
  <c r="AC45" i="2"/>
  <c r="K31" i="28"/>
  <c r="K38" i="7"/>
  <c r="AK44" i="2"/>
  <c r="AG43" i="2"/>
  <c r="AI48" i="2"/>
  <c r="AK46" i="2"/>
  <c r="AE40" i="2"/>
  <c r="AK45" i="2"/>
  <c r="AK40" i="2"/>
  <c r="AG41" i="2"/>
  <c r="AI43" i="2"/>
  <c r="AK43" i="2"/>
  <c r="AH40" i="2"/>
  <c r="AJ43" i="2"/>
  <c r="AJ48" i="2"/>
  <c r="AJ44" i="2"/>
  <c r="AJ40" i="2"/>
  <c r="AC47" i="2"/>
  <c r="AC41" i="2"/>
  <c r="AG39" i="2"/>
  <c r="AC48" i="2"/>
  <c r="AI46" i="2"/>
  <c r="AH45" i="2"/>
  <c r="AG44" i="2"/>
  <c r="O24" i="4" s="1"/>
  <c r="AC43" i="2"/>
  <c r="AK41" i="2"/>
  <c r="AC40" i="2"/>
  <c r="AE41" i="2"/>
  <c r="AC39" i="2"/>
  <c r="AC42" i="2"/>
  <c r="AB56" i="2"/>
  <c r="AD41" i="2" s="1"/>
  <c r="AI39" i="2"/>
  <c r="K30" i="7" s="1"/>
  <c r="AK47" i="2"/>
  <c r="AG46" i="2"/>
  <c r="AG45" i="2"/>
  <c r="AE44" i="2"/>
  <c r="AK42" i="2"/>
  <c r="AI41" i="2"/>
  <c r="AI40" i="2"/>
  <c r="AC46" i="2"/>
  <c r="AE42" i="2"/>
  <c r="AG48" i="2"/>
  <c r="AE39" i="2"/>
  <c r="AB60" i="2"/>
  <c r="AL40" i="2" s="1"/>
  <c r="AK39" i="2"/>
  <c r="P81" i="30" s="1"/>
  <c r="AI47" i="2"/>
  <c r="AC44" i="2"/>
  <c r="AI42" i="2"/>
  <c r="AH41" i="2"/>
  <c r="AG40" i="2"/>
  <c r="AB57" i="2"/>
  <c r="AF44" i="2" s="1"/>
  <c r="AE43" i="2"/>
  <c r="AE48" i="2"/>
  <c r="AI45" i="2"/>
  <c r="AI44" i="2"/>
  <c r="AK48" i="2"/>
  <c r="AG47" i="2"/>
  <c r="AE46" i="2"/>
  <c r="AE45" i="2"/>
  <c r="AG42" i="2"/>
  <c r="AH39" i="2"/>
  <c r="AH47" i="2"/>
  <c r="AJ46" i="2"/>
  <c r="AH43" i="2"/>
  <c r="AJ42" i="2"/>
  <c r="AJ39" i="2"/>
  <c r="AH44" i="2"/>
  <c r="Q24" i="4" s="1"/>
  <c r="AJ47" i="2"/>
  <c r="AH46" i="2"/>
  <c r="AJ45" i="2"/>
  <c r="AH42" i="2"/>
  <c r="AJ41" i="2"/>
  <c r="AH48" i="2"/>
  <c r="G79" i="2"/>
  <c r="G80" i="2"/>
  <c r="G81" i="2"/>
  <c r="G82" i="2"/>
  <c r="G83" i="2"/>
  <c r="G84" i="2"/>
  <c r="G78" i="2"/>
  <c r="G76" i="2"/>
  <c r="G72" i="2"/>
  <c r="G73" i="2"/>
  <c r="G74" i="2"/>
  <c r="G71" i="2"/>
  <c r="G69" i="2"/>
  <c r="G68" i="2"/>
  <c r="G62" i="2"/>
  <c r="G63" i="2"/>
  <c r="G64" i="2"/>
  <c r="G65" i="2"/>
  <c r="G66" i="2"/>
  <c r="G61" i="2"/>
  <c r="G59" i="2"/>
  <c r="G58" i="2"/>
  <c r="G56" i="2"/>
  <c r="G33" i="2"/>
  <c r="G34" i="2"/>
  <c r="G35" i="2"/>
  <c r="G36" i="2"/>
  <c r="G37" i="2"/>
  <c r="G38" i="2"/>
  <c r="G39" i="2"/>
  <c r="G40" i="2"/>
  <c r="G41" i="2"/>
  <c r="G42" i="2"/>
  <c r="G43" i="2"/>
  <c r="G44" i="2"/>
  <c r="G45" i="2"/>
  <c r="G46" i="2"/>
  <c r="G47" i="2"/>
  <c r="G48" i="2"/>
  <c r="G49" i="2"/>
  <c r="G51" i="2"/>
  <c r="G53" i="2"/>
  <c r="G32" i="2"/>
  <c r="G29" i="2"/>
  <c r="G30" i="2"/>
  <c r="G28" i="2"/>
  <c r="G25" i="2"/>
  <c r="G26" i="2"/>
  <c r="G24" i="2"/>
  <c r="G21" i="2"/>
  <c r="G22" i="2"/>
  <c r="G20" i="2"/>
  <c r="G18" i="2"/>
  <c r="G17" i="2"/>
  <c r="G15" i="2"/>
  <c r="G12" i="2"/>
  <c r="G13" i="2"/>
  <c r="G11" i="2"/>
  <c r="G8" i="2"/>
  <c r="G9" i="2"/>
  <c r="G7" i="2"/>
  <c r="G5" i="2"/>
  <c r="G4" i="2"/>
  <c r="D77" i="2"/>
  <c r="D78" i="2"/>
  <c r="D79" i="2"/>
  <c r="D80" i="2"/>
  <c r="D81" i="2"/>
  <c r="D82" i="2"/>
  <c r="D83" i="2"/>
  <c r="D84" i="2"/>
  <c r="D76" i="2"/>
  <c r="D72" i="2"/>
  <c r="D73" i="2"/>
  <c r="D74" i="2"/>
  <c r="D71" i="2"/>
  <c r="D69" i="2"/>
  <c r="D68" i="2"/>
  <c r="D62" i="2"/>
  <c r="D63" i="2"/>
  <c r="D64" i="2"/>
  <c r="D65" i="2"/>
  <c r="D66" i="2"/>
  <c r="D61" i="2"/>
  <c r="D59" i="2"/>
  <c r="D58" i="2"/>
  <c r="D56" i="2"/>
  <c r="D53" i="2"/>
  <c r="D51" i="2"/>
  <c r="D33" i="2"/>
  <c r="D34" i="2"/>
  <c r="D35" i="2"/>
  <c r="D36" i="2"/>
  <c r="D37" i="2"/>
  <c r="D38" i="2"/>
  <c r="D39" i="2"/>
  <c r="D40" i="2"/>
  <c r="D41" i="2"/>
  <c r="D42" i="2"/>
  <c r="D43" i="2"/>
  <c r="D44" i="2"/>
  <c r="D45" i="2"/>
  <c r="D46" i="2"/>
  <c r="D47" i="2"/>
  <c r="D48" i="2"/>
  <c r="D49" i="2"/>
  <c r="D32" i="2"/>
  <c r="D29" i="2"/>
  <c r="D30" i="2"/>
  <c r="D28" i="2"/>
  <c r="D25" i="2"/>
  <c r="D26" i="2"/>
  <c r="D24" i="2"/>
  <c r="D21" i="2"/>
  <c r="D22" i="2"/>
  <c r="D20" i="2"/>
  <c r="D18" i="2"/>
  <c r="D17" i="2"/>
  <c r="D15" i="2"/>
  <c r="D12" i="2"/>
  <c r="D13" i="2"/>
  <c r="D11" i="2"/>
  <c r="D8" i="2"/>
  <c r="D9" i="2"/>
  <c r="D7"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3" i="2"/>
  <c r="D5" i="2"/>
  <c r="D4" i="2"/>
  <c r="O25" i="4" l="1"/>
  <c r="O23" i="4"/>
  <c r="O26" i="4"/>
  <c r="Q25" i="4"/>
  <c r="O22" i="4"/>
  <c r="AD48" i="2"/>
  <c r="AD45" i="2"/>
  <c r="AL41" i="2"/>
  <c r="K29" i="7"/>
  <c r="K28" i="7"/>
  <c r="AL48" i="2"/>
  <c r="AL46" i="2"/>
  <c r="AL47" i="2"/>
  <c r="AL43" i="2"/>
  <c r="AL39" i="2"/>
  <c r="R81" i="30" s="1"/>
  <c r="AL44" i="2"/>
  <c r="Q26" i="4" s="1"/>
  <c r="AL42" i="2"/>
  <c r="AL45" i="2"/>
  <c r="AF48" i="2"/>
  <c r="AF47" i="2"/>
  <c r="AF39" i="2"/>
  <c r="Q23" i="4" s="1"/>
  <c r="AF45" i="2"/>
  <c r="AF46" i="2"/>
  <c r="AF41" i="2"/>
  <c r="AF42" i="2"/>
  <c r="AF43" i="2"/>
  <c r="AD39" i="2"/>
  <c r="AF40" i="2"/>
  <c r="AD44" i="2"/>
  <c r="Q22" i="4" s="1"/>
  <c r="AD40" i="2"/>
  <c r="AD43" i="2"/>
  <c r="AD42" i="2"/>
  <c r="AD46" i="2"/>
  <c r="AD47" i="2"/>
  <c r="K31" i="7" l="1"/>
  <c r="K30" i="28"/>
  <c r="K42" i="7" l="1"/>
  <c r="K43" i="7"/>
  <c r="K41" i="7"/>
  <c r="K44" i="7"/>
  <c r="W45" i="28"/>
  <c r="O48" i="28" s="1"/>
  <c r="K86" i="28"/>
  <c r="O71" i="28"/>
  <c r="O70" i="28"/>
  <c r="O69" i="28"/>
  <c r="O66" i="28"/>
  <c r="E43" i="28"/>
  <c r="R43" i="28" s="1"/>
  <c r="E42" i="28"/>
  <c r="R42" i="28" s="1"/>
  <c r="E41" i="28"/>
  <c r="R41" i="28" s="1"/>
  <c r="E40" i="28"/>
  <c r="R40" i="28" s="1"/>
  <c r="E38" i="28"/>
  <c r="R38" i="28" s="1"/>
  <c r="E37" i="28"/>
  <c r="R37" i="28" s="1"/>
  <c r="E36" i="28"/>
  <c r="R36" i="28" s="1"/>
  <c r="E35" i="28"/>
  <c r="R35" i="28" s="1"/>
  <c r="E34" i="28"/>
  <c r="R34" i="28" s="1"/>
  <c r="E33" i="28"/>
  <c r="R33" i="28" s="1"/>
  <c r="E32" i="28"/>
  <c r="R32" i="28" s="1"/>
  <c r="E31" i="28"/>
  <c r="R31" i="28" s="1"/>
  <c r="M87" i="7"/>
  <c r="K87" i="7"/>
  <c r="R71" i="7"/>
  <c r="R70" i="7"/>
  <c r="AB41" i="7"/>
  <c r="AB42" i="7"/>
  <c r="AB43" i="7"/>
  <c r="AB44" i="7"/>
  <c r="AA41" i="7"/>
  <c r="Y46" i="7" s="1"/>
  <c r="AA42" i="7"/>
  <c r="AA43" i="7"/>
  <c r="AA44" i="7"/>
  <c r="E32" i="7"/>
  <c r="T32" i="7" s="1"/>
  <c r="E33" i="7"/>
  <c r="T33" i="7" s="1"/>
  <c r="E34" i="7"/>
  <c r="T34" i="7" s="1"/>
  <c r="E35" i="7"/>
  <c r="T35" i="7" s="1"/>
  <c r="E36" i="7"/>
  <c r="T36" i="7" s="1"/>
  <c r="E37" i="7"/>
  <c r="T37" i="7" s="1"/>
  <c r="E38" i="7"/>
  <c r="T38" i="7" s="1"/>
  <c r="E39" i="7"/>
  <c r="T39" i="7" s="1"/>
  <c r="E41" i="7"/>
  <c r="T41" i="7" s="1"/>
  <c r="E42" i="7"/>
  <c r="T42" i="7" s="1"/>
  <c r="E43" i="7"/>
  <c r="T43" i="7" s="1"/>
  <c r="E44" i="7"/>
  <c r="T44" i="7" s="1"/>
  <c r="O81" i="28" l="1"/>
  <c r="O80" i="28"/>
  <c r="P49" i="7"/>
  <c r="Z46" i="7"/>
  <c r="R49" i="7" s="1"/>
  <c r="R72" i="7" s="1"/>
  <c r="O73" i="28"/>
  <c r="P81" i="7" l="1"/>
  <c r="P72" i="7"/>
  <c r="R80" i="7"/>
  <c r="R81" i="7"/>
  <c r="R74" i="7"/>
  <c r="P68" i="7"/>
  <c r="R82" i="7"/>
  <c r="P82" i="7"/>
  <c r="R83" i="7"/>
  <c r="R85" i="7"/>
  <c r="R84" i="7"/>
  <c r="K15" i="18" l="1"/>
  <c r="S10" i="6" l="1"/>
  <c r="S9" i="6"/>
  <c r="K30" i="5"/>
  <c r="Q36" i="4"/>
  <c r="Q37" i="4"/>
  <c r="Q38" i="4"/>
  <c r="Q39" i="4"/>
  <c r="F8" i="19" l="1"/>
  <c r="S20" i="6"/>
  <c r="K25" i="18"/>
  <c r="H20" i="19"/>
  <c r="P20" i="19"/>
  <c r="X20" i="19"/>
  <c r="I20" i="19"/>
  <c r="Q20" i="19"/>
  <c r="Y20" i="19"/>
  <c r="J20" i="19"/>
  <c r="R20" i="19"/>
  <c r="Z20" i="19"/>
  <c r="K20" i="19"/>
  <c r="S20" i="19"/>
  <c r="L20" i="19"/>
  <c r="T20" i="19"/>
  <c r="M20" i="19"/>
  <c r="U20" i="19"/>
  <c r="F20" i="19"/>
  <c r="N20" i="19"/>
  <c r="V20" i="19"/>
  <c r="G20" i="19"/>
  <c r="O20" i="19"/>
  <c r="W20" i="19"/>
  <c r="K27" i="18"/>
  <c r="S22" i="6"/>
  <c r="O37" i="4"/>
  <c r="O36" i="4"/>
  <c r="O38" i="4"/>
  <c r="O39" i="4"/>
  <c r="F35" i="4"/>
  <c r="E40" i="30" s="1"/>
  <c r="T40" i="30" s="1"/>
  <c r="E31" i="7" l="1"/>
  <c r="T31" i="7" s="1"/>
  <c r="E30" i="28"/>
  <c r="R30" i="28" s="1"/>
  <c r="E29" i="28"/>
  <c r="R29" i="28" s="1"/>
  <c r="E30" i="7"/>
  <c r="T30" i="7" s="1"/>
  <c r="E29" i="7"/>
  <c r="T29" i="7" s="1"/>
  <c r="E28" i="28"/>
  <c r="R28" i="28" s="1"/>
  <c r="E39" i="28"/>
  <c r="R39" i="28" s="1"/>
  <c r="E40" i="7"/>
  <c r="T40" i="7" s="1"/>
  <c r="E27" i="7"/>
  <c r="T27" i="7" s="1"/>
  <c r="E26" i="28"/>
  <c r="R26" i="28" s="1"/>
  <c r="E28" i="7"/>
  <c r="T28" i="7" s="1"/>
  <c r="E27" i="28"/>
  <c r="R27" i="28" s="1"/>
  <c r="Q41" i="4"/>
  <c r="K48" i="4" s="1"/>
  <c r="O41" i="4"/>
  <c r="K46" i="4" s="1"/>
  <c r="O20" i="6" l="1"/>
  <c r="K20" i="6"/>
  <c r="O21" i="6"/>
  <c r="K21" i="6"/>
  <c r="K20" i="18"/>
  <c r="S18" i="6"/>
  <c r="K19" i="18"/>
  <c r="S21" i="6"/>
  <c r="G75" i="2"/>
  <c r="D67" i="2"/>
  <c r="K53" i="1"/>
  <c r="K52" i="1"/>
  <c r="L52" i="1" l="1"/>
  <c r="M33" i="6" s="1"/>
  <c r="M10" i="6" l="1"/>
  <c r="M18" i="6"/>
  <c r="L51" i="1"/>
  <c r="V65" i="1" s="1"/>
  <c r="M8" i="6"/>
  <c r="M25" i="6"/>
  <c r="M41" i="6"/>
  <c r="S13" i="6"/>
  <c r="D49" i="6"/>
  <c r="M31" i="6"/>
  <c r="V66" i="1"/>
  <c r="M20" i="6"/>
  <c r="R13" i="6"/>
  <c r="AD53" i="1"/>
  <c r="AD52" i="1"/>
  <c r="S14" i="6" s="1"/>
  <c r="K60" i="1"/>
  <c r="S15" i="6" l="1"/>
  <c r="S12" i="6"/>
  <c r="M61" i="1"/>
  <c r="M60" i="1"/>
  <c r="K61" i="1"/>
  <c r="M12" i="6"/>
  <c r="M27" i="6" s="1"/>
  <c r="M34" i="6" s="1"/>
  <c r="M43" i="6" s="1"/>
  <c r="D50" i="6" s="1"/>
  <c r="L60" i="1"/>
  <c r="V67" i="1" s="1"/>
  <c r="AD61" i="1"/>
  <c r="AD60" i="1"/>
  <c r="S11" i="6"/>
  <c r="L8" i="19"/>
  <c r="W67" i="1" l="1"/>
  <c r="O12" i="6" s="1"/>
  <c r="O27" i="6" s="1"/>
  <c r="W69" i="1"/>
  <c r="O13" i="6" s="1"/>
  <c r="O28" i="6" s="1"/>
  <c r="U67" i="1"/>
  <c r="K12" i="6" s="1"/>
  <c r="U69" i="1"/>
  <c r="K13" i="6" s="1"/>
  <c r="K10" i="28"/>
  <c r="K54" i="28" s="1"/>
  <c r="L59" i="1"/>
  <c r="O35" i="6" l="1"/>
  <c r="O44" i="6" s="1"/>
  <c r="K28" i="6"/>
  <c r="K35" i="6" s="1"/>
  <c r="K44" i="6" s="1"/>
  <c r="D56" i="6" s="1"/>
  <c r="K26" i="18"/>
  <c r="K55" i="28"/>
  <c r="K27" i="6"/>
  <c r="K24" i="18"/>
  <c r="K11" i="30" l="1"/>
  <c r="M56" i="30" s="1"/>
  <c r="D59" i="6"/>
  <c r="K11" i="7"/>
  <c r="O34" i="6"/>
  <c r="O43" i="6" s="1"/>
  <c r="K34" i="6"/>
  <c r="M54" i="7" l="1"/>
  <c r="M55" i="7"/>
  <c r="K10" i="30"/>
  <c r="D53" i="6"/>
  <c r="M59" i="7"/>
  <c r="M58" i="7"/>
  <c r="M56" i="7"/>
  <c r="M57" i="7"/>
  <c r="M74" i="7"/>
  <c r="R87" i="7"/>
  <c r="R87" i="30"/>
  <c r="M55" i="30"/>
  <c r="M74" i="30"/>
  <c r="M57" i="30"/>
  <c r="M54" i="30"/>
  <c r="M59" i="30"/>
  <c r="M58" i="30"/>
  <c r="K41" i="4"/>
  <c r="K22" i="30" l="1"/>
  <c r="M22" i="30"/>
  <c r="K22" i="7"/>
  <c r="K21" i="28"/>
  <c r="M22" i="7"/>
  <c r="K16" i="18"/>
  <c r="I12" i="19" s="1"/>
  <c r="Z8" i="19"/>
  <c r="O82" i="28" l="1"/>
  <c r="O83" i="28"/>
  <c r="O84" i="28"/>
  <c r="O79" i="28"/>
  <c r="P85" i="7"/>
  <c r="P80" i="7"/>
  <c r="P83" i="7"/>
  <c r="P84" i="7"/>
  <c r="F21" i="19"/>
  <c r="F22" i="19" s="1"/>
  <c r="F23" i="19" s="1"/>
  <c r="H21" i="19"/>
  <c r="H22" i="19" s="1"/>
  <c r="H23" i="19" s="1"/>
  <c r="P21" i="19"/>
  <c r="P22" i="19" s="1"/>
  <c r="P23" i="19" s="1"/>
  <c r="X21" i="19"/>
  <c r="X22" i="19" s="1"/>
  <c r="X23" i="19" s="1"/>
  <c r="I21" i="19"/>
  <c r="I22" i="19" s="1"/>
  <c r="I23" i="19" s="1"/>
  <c r="Z21" i="19"/>
  <c r="Z22" i="19" s="1"/>
  <c r="Z23" i="19" s="1"/>
  <c r="K21" i="19"/>
  <c r="K22" i="19" s="1"/>
  <c r="K23" i="19" s="1"/>
  <c r="S21" i="19"/>
  <c r="S22" i="19" s="1"/>
  <c r="S23" i="19" s="1"/>
  <c r="O21" i="19"/>
  <c r="O22" i="19" s="1"/>
  <c r="O23" i="19" s="1"/>
  <c r="L21" i="19"/>
  <c r="L22" i="19" s="1"/>
  <c r="L23" i="19" s="1"/>
  <c r="T21" i="19"/>
  <c r="T22" i="19" s="1"/>
  <c r="T23" i="19" s="1"/>
  <c r="Q21" i="19"/>
  <c r="Q22" i="19" s="1"/>
  <c r="Q23" i="19" s="1"/>
  <c r="R21" i="19"/>
  <c r="R22" i="19" s="1"/>
  <c r="R23" i="19" s="1"/>
  <c r="M21" i="19"/>
  <c r="M22" i="19" s="1"/>
  <c r="M23" i="19" s="1"/>
  <c r="U21" i="19"/>
  <c r="U22" i="19" s="1"/>
  <c r="U23" i="19" s="1"/>
  <c r="W21" i="19"/>
  <c r="W22" i="19" s="1"/>
  <c r="W23" i="19" s="1"/>
  <c r="Y21" i="19"/>
  <c r="Y22" i="19" s="1"/>
  <c r="Y23" i="19" s="1"/>
  <c r="J21" i="19"/>
  <c r="J22" i="19" s="1"/>
  <c r="J23" i="19" s="1"/>
  <c r="N21" i="19"/>
  <c r="N22" i="19" s="1"/>
  <c r="N23" i="19" s="1"/>
  <c r="V21" i="19"/>
  <c r="V22" i="19" s="1"/>
  <c r="V23" i="19" s="1"/>
  <c r="G21" i="19"/>
  <c r="G22" i="19" s="1"/>
  <c r="G23" i="19" s="1"/>
  <c r="F9" i="19"/>
  <c r="S24" i="19"/>
  <c r="S25" i="19" s="1"/>
  <c r="X24" i="19"/>
  <c r="X25" i="19" s="1"/>
  <c r="G24" i="19"/>
  <c r="G25" i="19" s="1"/>
  <c r="K24" i="19"/>
  <c r="K25" i="19" s="1"/>
  <c r="P24" i="19"/>
  <c r="P25" i="19" s="1"/>
  <c r="V24" i="19"/>
  <c r="V25" i="19" s="1"/>
  <c r="Z24" i="19"/>
  <c r="Z25" i="19" s="1"/>
  <c r="H24" i="19"/>
  <c r="N24" i="19"/>
  <c r="R24" i="19"/>
  <c r="R25" i="19" s="1"/>
  <c r="F24" i="19"/>
  <c r="F25" i="19" s="1"/>
  <c r="U24" i="19"/>
  <c r="U25" i="19" s="1"/>
  <c r="J24" i="19"/>
  <c r="M24" i="19"/>
  <c r="M25" i="19" s="1"/>
  <c r="L24" i="19"/>
  <c r="Y24" i="19"/>
  <c r="Y25" i="19" s="1"/>
  <c r="T24" i="19"/>
  <c r="O24" i="19"/>
  <c r="O25" i="19" s="1"/>
  <c r="Q24" i="19"/>
  <c r="Q25" i="19" s="1"/>
  <c r="W24" i="19"/>
  <c r="W25" i="19" s="1"/>
  <c r="I24" i="19"/>
  <c r="I25" i="19" s="1"/>
  <c r="W8" i="19"/>
  <c r="O8" i="19"/>
  <c r="G8" i="19"/>
  <c r="V8" i="19"/>
  <c r="N8" i="19"/>
  <c r="U8" i="19"/>
  <c r="T8" i="19"/>
  <c r="R8" i="19"/>
  <c r="Y8" i="19"/>
  <c r="I8" i="19"/>
  <c r="S8" i="19"/>
  <c r="K8" i="19"/>
  <c r="J8" i="19"/>
  <c r="Q8" i="19"/>
  <c r="M8" i="19"/>
  <c r="X8" i="19"/>
  <c r="P8" i="19"/>
  <c r="H8" i="19"/>
  <c r="T25" i="19" l="1"/>
  <c r="T26" i="19" s="1"/>
  <c r="H25" i="19"/>
  <c r="H26" i="19" s="1"/>
  <c r="N25" i="19"/>
  <c r="N26" i="19" s="1"/>
  <c r="L25" i="19"/>
  <c r="L26" i="19" s="1"/>
  <c r="J25" i="19"/>
  <c r="J26" i="19" s="1"/>
  <c r="P26" i="19"/>
  <c r="S26" i="19"/>
  <c r="I26" i="19"/>
  <c r="Z26" i="19"/>
  <c r="Q26" i="19"/>
  <c r="K26" i="19"/>
  <c r="M26" i="19"/>
  <c r="W26" i="19"/>
  <c r="U26" i="19"/>
  <c r="R26" i="19"/>
  <c r="X26" i="19"/>
  <c r="Y26" i="19"/>
  <c r="O26" i="19"/>
  <c r="F26" i="19"/>
  <c r="G26" i="19"/>
  <c r="V26" i="19"/>
  <c r="T20" i="18" l="1"/>
  <c r="AB17" i="19" s="1"/>
  <c r="AB19" i="19" s="1"/>
  <c r="AB21" i="19" s="1"/>
  <c r="K8" i="14"/>
  <c r="K11" i="14"/>
  <c r="K9" i="14"/>
  <c r="O9" i="14" s="1"/>
  <c r="AB18" i="19" l="1"/>
  <c r="AB24" i="19" s="1"/>
  <c r="T24" i="18" s="1"/>
  <c r="L9" i="19"/>
  <c r="L10" i="19" s="1"/>
  <c r="L11" i="19" s="1"/>
  <c r="P12" i="19"/>
  <c r="P13" i="19" s="1"/>
  <c r="L12" i="19"/>
  <c r="L13" i="19" s="1"/>
  <c r="K12" i="14"/>
  <c r="O12" i="14" s="1"/>
  <c r="K10" i="14"/>
  <c r="O10" i="14" s="1"/>
  <c r="O7" i="14"/>
  <c r="O8" i="14"/>
  <c r="F10" i="19"/>
  <c r="F12" i="19"/>
  <c r="F13" i="19" s="1"/>
  <c r="O12" i="19"/>
  <c r="O13" i="19" s="1"/>
  <c r="W12" i="19"/>
  <c r="W13" i="19" s="1"/>
  <c r="H9" i="19"/>
  <c r="H10" i="19" s="1"/>
  <c r="H11" i="19" s="1"/>
  <c r="P9" i="19"/>
  <c r="P10" i="19" s="1"/>
  <c r="P11" i="19" s="1"/>
  <c r="X9" i="19"/>
  <c r="X10" i="19" s="1"/>
  <c r="X11" i="19" s="1"/>
  <c r="Y9" i="19"/>
  <c r="Y10" i="19" s="1"/>
  <c r="Y11" i="19" s="1"/>
  <c r="J9" i="19"/>
  <c r="J10" i="19" s="1"/>
  <c r="J11" i="19" s="1"/>
  <c r="R12" i="19"/>
  <c r="R13" i="19" s="1"/>
  <c r="U9" i="19"/>
  <c r="U10" i="19" s="1"/>
  <c r="U11" i="19" s="1"/>
  <c r="N9" i="19"/>
  <c r="N10" i="19" s="1"/>
  <c r="N11" i="19" s="1"/>
  <c r="N12" i="19"/>
  <c r="N13" i="19" s="1"/>
  <c r="W9" i="19"/>
  <c r="W10" i="19" s="1"/>
  <c r="W11" i="19" s="1"/>
  <c r="H12" i="19"/>
  <c r="H13" i="19" s="1"/>
  <c r="X12" i="19"/>
  <c r="X13" i="19" s="1"/>
  <c r="I9" i="19"/>
  <c r="I10" i="19" s="1"/>
  <c r="I11" i="19" s="1"/>
  <c r="Q9" i="19"/>
  <c r="Q10" i="19" s="1"/>
  <c r="Q11" i="19" s="1"/>
  <c r="Z9" i="19"/>
  <c r="Z10" i="19" s="1"/>
  <c r="Z11" i="19" s="1"/>
  <c r="J12" i="19"/>
  <c r="J13" i="19" s="1"/>
  <c r="K9" i="19"/>
  <c r="K10" i="19" s="1"/>
  <c r="K11" i="19" s="1"/>
  <c r="G12" i="19"/>
  <c r="G13" i="19" s="1"/>
  <c r="U12" i="19"/>
  <c r="U13" i="19" s="1"/>
  <c r="V9" i="19"/>
  <c r="V10" i="19" s="1"/>
  <c r="V11" i="19" s="1"/>
  <c r="G9" i="19"/>
  <c r="G10" i="19" s="1"/>
  <c r="G11" i="19" s="1"/>
  <c r="I13" i="19"/>
  <c r="Q12" i="19"/>
  <c r="Q13" i="19" s="1"/>
  <c r="Y12" i="19"/>
  <c r="Y13" i="19" s="1"/>
  <c r="R9" i="19"/>
  <c r="R10" i="19" s="1"/>
  <c r="R11" i="19" s="1"/>
  <c r="Z12" i="19"/>
  <c r="Z13" i="19" s="1"/>
  <c r="S9" i="19"/>
  <c r="S10" i="19" s="1"/>
  <c r="S11" i="19" s="1"/>
  <c r="T12" i="19"/>
  <c r="T13" i="19" s="1"/>
  <c r="M9" i="19"/>
  <c r="M10" i="19" s="1"/>
  <c r="M11" i="19" s="1"/>
  <c r="K12" i="19"/>
  <c r="K13" i="19" s="1"/>
  <c r="S12" i="19"/>
  <c r="S13" i="19" s="1"/>
  <c r="T9" i="19"/>
  <c r="T10" i="19" s="1"/>
  <c r="T11" i="19" s="1"/>
  <c r="O9" i="19"/>
  <c r="O10" i="19" s="1"/>
  <c r="O11" i="19" s="1"/>
  <c r="M12" i="19"/>
  <c r="M13" i="19" s="1"/>
  <c r="V12" i="19"/>
  <c r="V13" i="19" s="1"/>
  <c r="AB20" i="19" l="1"/>
  <c r="AB22" i="19" s="1"/>
  <c r="AB23" i="19" s="1"/>
  <c r="T21" i="18" s="1"/>
  <c r="F11" i="19"/>
  <c r="F14" i="19" s="1"/>
  <c r="K14" i="14"/>
  <c r="Z14" i="19"/>
  <c r="H14" i="19"/>
  <c r="X14" i="19"/>
  <c r="R14" i="19"/>
  <c r="P14" i="19"/>
  <c r="T14" i="19"/>
  <c r="U14" i="19"/>
  <c r="N14" i="19"/>
  <c r="J14" i="19"/>
  <c r="K14" i="19"/>
  <c r="G14" i="19"/>
  <c r="Y14" i="19"/>
  <c r="I14" i="19"/>
  <c r="M14" i="19"/>
  <c r="S14" i="19"/>
  <c r="Q14" i="19"/>
  <c r="V14" i="19"/>
  <c r="W14" i="19"/>
  <c r="L14" i="19"/>
  <c r="O14" i="19"/>
  <c r="AB25" i="19" l="1"/>
  <c r="AB26" i="19" s="1"/>
  <c r="T15" i="18"/>
  <c r="AB5" i="19" s="1"/>
  <c r="AB6" i="19" s="1"/>
  <c r="AB12" i="19" s="1"/>
  <c r="T18" i="18" s="1"/>
  <c r="G5" i="18" l="1"/>
  <c r="M14" i="14"/>
  <c r="AB7" i="19" l="1"/>
  <c r="AB9" i="19" s="1"/>
  <c r="O11" i="14"/>
  <c r="P74" i="7"/>
  <c r="AB13" i="19" l="1"/>
  <c r="AB8" i="19"/>
  <c r="AB10" i="19" s="1"/>
  <c r="AB11" i="19" s="1"/>
  <c r="T16" i="18" s="1"/>
  <c r="O14" i="14"/>
  <c r="AB14" i="19" l="1"/>
  <c r="K43" i="6" l="1"/>
  <c r="P87" i="30" l="1"/>
  <c r="K55" i="30"/>
  <c r="K74" i="30"/>
  <c r="K59" i="30"/>
  <c r="K57" i="30"/>
  <c r="K56" i="30"/>
  <c r="K58" i="30"/>
  <c r="K54" i="30"/>
  <c r="K10" i="7"/>
  <c r="K55" i="7" s="1"/>
  <c r="D47" i="6"/>
  <c r="O86" i="28"/>
  <c r="K73" i="28"/>
  <c r="K57" i="28"/>
  <c r="K53" i="28"/>
  <c r="K56" i="28"/>
  <c r="K58" i="28"/>
  <c r="K58" i="7" l="1"/>
  <c r="K54" i="7"/>
  <c r="K59" i="7"/>
  <c r="K57" i="7"/>
  <c r="K56" i="7"/>
  <c r="K74" i="7"/>
  <c r="P87" i="7"/>
</calcChain>
</file>

<file path=xl/sharedStrings.xml><?xml version="1.0" encoding="utf-8"?>
<sst xmlns="http://schemas.openxmlformats.org/spreadsheetml/2006/main" count="2113" uniqueCount="623">
  <si>
    <t>Calculate the additional population</t>
  </si>
  <si>
    <t>Total population increase generated by the development</t>
  </si>
  <si>
    <t>Value</t>
  </si>
  <si>
    <t>Unit</t>
  </si>
  <si>
    <t>Persons</t>
  </si>
  <si>
    <t>1.</t>
  </si>
  <si>
    <t>dwellings</t>
  </si>
  <si>
    <t>persons/dwelling</t>
  </si>
  <si>
    <t>2.</t>
  </si>
  <si>
    <t>Water use per person</t>
  </si>
  <si>
    <t>Litres/day</t>
  </si>
  <si>
    <t>Wastewater volume generated by the development</t>
  </si>
  <si>
    <t>3.</t>
  </si>
  <si>
    <t>Yes</t>
  </si>
  <si>
    <t>4.</t>
  </si>
  <si>
    <t>Kg/year</t>
  </si>
  <si>
    <t>Stage 2</t>
  </si>
  <si>
    <t>Hectares</t>
  </si>
  <si>
    <t>Identify current land uses of the development site</t>
  </si>
  <si>
    <t>TP load from current land usage</t>
  </si>
  <si>
    <t>Sum total of land uses</t>
  </si>
  <si>
    <t>Allotments and city farms</t>
  </si>
  <si>
    <t>Horticulture</t>
  </si>
  <si>
    <t>Dairy</t>
  </si>
  <si>
    <t>Units</t>
  </si>
  <si>
    <t>Identify proposed land uses of the development site</t>
  </si>
  <si>
    <t>TP load from proposed land usage</t>
  </si>
  <si>
    <t>5.</t>
  </si>
  <si>
    <t>Development will be Phosphorous neutral - no mitigation will be required</t>
  </si>
  <si>
    <t>Stage 3</t>
  </si>
  <si>
    <t>Stage 4</t>
  </si>
  <si>
    <t>Identify proposed land uses for mitigation</t>
  </si>
  <si>
    <t>Constructed wetland</t>
  </si>
  <si>
    <t>Nature reserve</t>
  </si>
  <si>
    <t>Woodland</t>
  </si>
  <si>
    <t>kg/year</t>
  </si>
  <si>
    <t>Planning Application Reference No.</t>
  </si>
  <si>
    <t xml:space="preserve">Date: </t>
  </si>
  <si>
    <t>Additional information:</t>
  </si>
  <si>
    <t>Site address:</t>
  </si>
  <si>
    <t>Site proposal:</t>
  </si>
  <si>
    <t>Introduction</t>
  </si>
  <si>
    <t>Stage 1</t>
  </si>
  <si>
    <t>General help</t>
  </si>
  <si>
    <t>About</t>
  </si>
  <si>
    <t>Leaching rate (kg / ha / yr)</t>
  </si>
  <si>
    <t>Land Use classification</t>
  </si>
  <si>
    <t>Iterative 'Zero' value calculator</t>
  </si>
  <si>
    <t>Difference</t>
  </si>
  <si>
    <t>WwTW</t>
  </si>
  <si>
    <t>Total</t>
  </si>
  <si>
    <t>Number of units proposed</t>
  </si>
  <si>
    <t>Total Development area</t>
  </si>
  <si>
    <t>Zero value</t>
  </si>
  <si>
    <t>%</t>
  </si>
  <si>
    <t>Number of dwellings</t>
  </si>
  <si>
    <t>Summary of proposed development</t>
  </si>
  <si>
    <t>2a.</t>
  </si>
  <si>
    <t>2b.</t>
  </si>
  <si>
    <t>Litres/person/day</t>
  </si>
  <si>
    <t>hectares</t>
  </si>
  <si>
    <t>No</t>
  </si>
  <si>
    <t>2025 Value known?</t>
  </si>
  <si>
    <t>Sum total area needed to be created</t>
  </si>
  <si>
    <t>Identify current land use of mitigation area</t>
  </si>
  <si>
    <t>Buffer amount</t>
  </si>
  <si>
    <t>Note: Where development sites include existing areas that are to be retained, these areas can be excluded from the calculations in both Stages 2 and 3.</t>
  </si>
  <si>
    <t>Development will generate additional Phosphorous (Mitigation required) - Please progress to Stage 5</t>
  </si>
  <si>
    <t>Development will generate additional Phosphorous (Mitigation required) - Please progress to Stage 6</t>
  </si>
  <si>
    <t xml:space="preserve">The Tool uses the following colour coding to indicate the functionality to the user. These colours are: </t>
  </si>
  <si>
    <t>The user needs to input a value here</t>
  </si>
  <si>
    <t>This contains fixed or calculated values and the user does not need to input a value</t>
  </si>
  <si>
    <t>Meadow / semi natural grassland</t>
  </si>
  <si>
    <t>Wetland</t>
  </si>
  <si>
    <t>Land Use</t>
  </si>
  <si>
    <t>Free draining</t>
  </si>
  <si>
    <t>Pig Farming</t>
  </si>
  <si>
    <t xml:space="preserve"> </t>
  </si>
  <si>
    <t>Kg/ha/year</t>
  </si>
  <si>
    <t>On-site mitigation</t>
  </si>
  <si>
    <t>Off-site mitigation</t>
  </si>
  <si>
    <t>Specific land use of on-site mitigation area</t>
  </si>
  <si>
    <t>Average land use of the on-site mitigation area</t>
  </si>
  <si>
    <t>Specific land use of off-site mitigation area</t>
  </si>
  <si>
    <t>Identify current land use of off-site mitigation area</t>
  </si>
  <si>
    <t>Note: If the mitigation is to be implemented off-site then the user should select "Yes" in the list above. If on-site mitigation is to be implemented instead, then the user should select "No" above.</t>
  </si>
  <si>
    <t>On-site mitigation land runoff coefficient</t>
  </si>
  <si>
    <t>Off-site mitigation land runoff coefficient</t>
  </si>
  <si>
    <t xml:space="preserve">Note: If the mitigation is to be implemented on-site then the user should select "Yes" in the list above. If off-site mitigation is to be implemented instead, then the user should select "No" above. </t>
  </si>
  <si>
    <t>mitigation land runoff coefficient</t>
  </si>
  <si>
    <t>General Arable</t>
  </si>
  <si>
    <t>Colour</t>
  </si>
  <si>
    <t>ID</t>
  </si>
  <si>
    <t>Name</t>
  </si>
  <si>
    <t>Saltmarsh soils</t>
  </si>
  <si>
    <t>Shallow very acid peaty soils over rock</t>
  </si>
  <si>
    <t xml:space="preserve">	Shallow lime-rich soils over chalk or limestone</t>
  </si>
  <si>
    <t>Sand dune soils</t>
  </si>
  <si>
    <t xml:space="preserve">	Freely draining lime-rich loamy soils</t>
  </si>
  <si>
    <t>Freely draining slightly acid loamy soils</t>
  </si>
  <si>
    <t>Freely draining slightly acid but base-rich soils</t>
  </si>
  <si>
    <t>Slightly acid loamy and clayey soils with impeded drainage</t>
  </si>
  <si>
    <t>Lime-rich loamy and clayey soils with impeded drainage</t>
  </si>
  <si>
    <t>Freely draining slightly acid sandy soils</t>
  </si>
  <si>
    <t xml:space="preserve">	Freely draining sandy Breckland soils</t>
  </si>
  <si>
    <t>Freely draining floodplain soils</t>
  </si>
  <si>
    <t>Freely draining acid loamy soils over rock</t>
  </si>
  <si>
    <t>Freely draining very acid sandy and loamy soils</t>
  </si>
  <si>
    <t>Naturally wet very acid sandy and loamy soils</t>
  </si>
  <si>
    <t xml:space="preserve">	Very acid loamy upland soils with a wet peaty surface</t>
  </si>
  <si>
    <t>Slowly permeable seasonally wet acid loamy and clayey soils</t>
  </si>
  <si>
    <t>Slowly permeable seasonally wet slightly acid but base-rich loamy and clayey soils</t>
  </si>
  <si>
    <t>Slowly permeable wet very acid upland soils with a peaty surface</t>
  </si>
  <si>
    <t>Loamy and clayey floodplain soils with naturally high groundwater</t>
  </si>
  <si>
    <t>Loamy and clayey soils of coastal flats with naturally high groundwater</t>
  </si>
  <si>
    <t>Loamy soils with naturally high groundwater</t>
  </si>
  <si>
    <t>Loamy and sandy soils with naturally high groundwater and a peaty surface</t>
  </si>
  <si>
    <t xml:space="preserve">	Restored soils mostly from quarry and opencast spoil</t>
  </si>
  <si>
    <t>Blanket bog peat soils</t>
  </si>
  <si>
    <t>Raised bog peat soils</t>
  </si>
  <si>
    <t xml:space="preserve">	Fen peat soils</t>
  </si>
  <si>
    <t>Land Use Definitions</t>
  </si>
  <si>
    <t>Soil Drainage Criteria</t>
  </si>
  <si>
    <t>Description</t>
  </si>
  <si>
    <t>Poultry farming</t>
  </si>
  <si>
    <t xml:space="preserve">Holdings on which dairy cows account for more than two thirds of their total standard output.  </t>
  </si>
  <si>
    <t xml:space="preserve">Holdings on which pigs account for more than two thirds of their total standard output. </t>
  </si>
  <si>
    <t xml:space="preserve">Holdings on which poultry account for more than two thirds of their total standard output. </t>
  </si>
  <si>
    <t>The tool has been designed so that the user is able to update the data and methods in light of any new research or understanding</t>
  </si>
  <si>
    <t>Open Space / Greenfield</t>
  </si>
  <si>
    <t>Mixed Livestock</t>
  </si>
  <si>
    <t>The land uses presented in this tool followed the CORINE 2018 land use data. Definitions of key land uses are presented below:</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</si>
  <si>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</si>
  <si>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</si>
  <si>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Identify current land use on-site mitigation area</t>
  </si>
  <si>
    <t>Average occupancy</t>
  </si>
  <si>
    <t>% fallowed</t>
  </si>
  <si>
    <t>Proposed multiplier</t>
  </si>
  <si>
    <t>Proposed land use (kg/yr)</t>
  </si>
  <si>
    <t>Sum land use</t>
  </si>
  <si>
    <t>Net change land use</t>
  </si>
  <si>
    <t>Dwellings/ha</t>
  </si>
  <si>
    <t>No. of dwellings</t>
  </si>
  <si>
    <t>Summary</t>
  </si>
  <si>
    <t xml:space="preserve">TP current land use </t>
  </si>
  <si>
    <t>TP proposed land use</t>
  </si>
  <si>
    <t>Meadow/semi-natural grassland</t>
  </si>
  <si>
    <t>Set aside multiplier</t>
  </si>
  <si>
    <t>Set aside land use (kg/yr)</t>
  </si>
  <si>
    <t>Set aside Land</t>
  </si>
  <si>
    <t>Woodland (e.g. conifer, mixed, broad-leaved)</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</si>
  <si>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</si>
  <si>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t>
  </si>
  <si>
    <t>{"WidgetClassification":3,"State":1,"HyperlinkFlavor":0,"Placement":0,"LinkTarget":0,"CellName":"_Ctrl_1","CellAddress":"='Help'!$C$83","WidgetName":8,"HiddenRow":1,"SheetCodeName":null,"ControlId":"","wcb":0}</t>
  </si>
  <si>
    <t>_Ctrl_2</t>
  </si>
  <si>
    <t>{"WidgetClassification":3,"State":1,"HyperlinkFlavor":0,"Placement":0,"LinkTarget":0,"CellName":"_Ctrl_2","CellAddress":"='Help'!$C$84","WidgetName":8,"HiddenRow":2,"SheetCodeName":null,"ControlId":"","wcb":0}</t>
  </si>
  <si>
    <t>_Ctrl_3</t>
  </si>
  <si>
    <t>{"WidgetClassification":3,"State":1,"HyperlinkFlavor":0,"Placement":0,"LinkTarget":0,"CellName":"_Ctrl_3","CellAddress":"='Help'!$C$86","WidgetName":8,"HiddenRow":3,"SheetCodeName":null,"ControlId":"","wcb":0}</t>
  </si>
  <si>
    <t>_Ctrl_4</t>
  </si>
  <si>
    <t>{"WidgetClassification":3,"State":1,"HyperlinkFlavor":0,"Placement":0,"LinkTarget":0,"CellName":"_Ctrl_4","CellAddress":"='Help'!$C$36","WidgetName":8,"HiddenRow":4,"SheetCodeName":null,"ControlId":"","wcb":0}</t>
  </si>
  <si>
    <t>_Ctrl_5</t>
  </si>
  <si>
    <t>{"WidgetClassification":0,"State":1,"IsRequired":false,"IsMultiline":true,"IsHidden":false,"Placeholder":"","InputType":0,"Rows":3,"IsMergeJustify":false,"CellName":"_Ctrl_5","CellAddress":"='Info'!$C$13","WidgetName":4,"HiddenRow":5,"SheetCodeName":null,"ControlId":"","wcb":0}</t>
  </si>
  <si>
    <t>_Ctrl_6</t>
  </si>
  <si>
    <t>{"WidgetClassification":0,"State":1,"IsRequired":false,"IsMultiline":true,"IsHidden":false,"Placeholder":"","InputType":0,"Rows":3,"IsMergeJustify":false,"CellName":"_Ctrl_6","CellAddress":"='Info'!$E$8","WidgetName":4,"HiddenRow":6,"SheetCodeName":null,"ControlId":"","wcb":0}</t>
  </si>
  <si>
    <t>_Ctrl_7</t>
  </si>
  <si>
    <t>{"WidgetClassification":0,"State":1,"IsRequired":false,"IsMultiline":true,"IsHidden":false,"Placeholder":"","InputType":0,"Rows":3,"IsMergeJustify":false,"CellName":"_Ctrl_7","CellAddress":"='Info'!$E$6","WidgetName":4,"HiddenRow":7,"SheetCodeName":null,"ControlId":"","wcb":0}</t>
  </si>
  <si>
    <t>_Ctrl_8</t>
  </si>
  <si>
    <t>_Ctrl_9</t>
  </si>
  <si>
    <t>_Ctrl_10</t>
  </si>
  <si>
    <t>_Ctrl_11</t>
  </si>
  <si>
    <t>_Ctrl_12</t>
  </si>
  <si>
    <t>_Ctrl_13</t>
  </si>
  <si>
    <t>_Ctrl_14</t>
  </si>
  <si>
    <t>_Ctrl_15</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</si>
  <si>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</si>
  <si>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</si>
  <si>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</si>
  <si>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</si>
  <si>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</si>
  <si>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</si>
  <si>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</si>
  <si>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</si>
  <si>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</si>
  <si>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</si>
  <si>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</si>
  <si>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</si>
  <si>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</si>
  <si>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</si>
  <si>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</si>
  <si>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</si>
  <si>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</si>
  <si>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</si>
  <si>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</si>
  <si>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</si>
  <si>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</si>
  <si>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</si>
  <si>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</si>
  <si>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</si>
  <si>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</si>
  <si>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</si>
  <si>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</si>
  <si>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</si>
  <si>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</si>
  <si>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</si>
  <si>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</si>
  <si>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</si>
  <si>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</si>
  <si>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</si>
  <si>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</si>
  <si>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</si>
  <si>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</si>
  <si>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</si>
  <si>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</si>
  <si>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</si>
  <si>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</si>
  <si>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</si>
  <si>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</si>
  <si>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</si>
  <si>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</si>
  <si>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</si>
  <si>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</si>
  <si>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</si>
  <si>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</si>
  <si>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</si>
  <si>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</si>
  <si>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</si>
  <si>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Weeks</t>
  </si>
  <si>
    <t>Number of rooms in a hotel or guest house proposed</t>
  </si>
  <si>
    <t>Number of weeks open per year (1-52)</t>
  </si>
  <si>
    <t>Average occupancy rate (1-100)</t>
  </si>
  <si>
    <t>shrub / heathland / bracken / bog</t>
  </si>
  <si>
    <t>Shrub / heathland / bracken / bog</t>
  </si>
  <si>
    <t>Banking coefficient</t>
  </si>
  <si>
    <t>Designed Wetlands / SuDS</t>
  </si>
  <si>
    <t>Wetland / SuDS area</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</si>
  <si>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</si>
  <si>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</si>
  <si>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Land use specific to constructed wetland only and does not include ponds or SuDS.</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</si>
  <si>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</si>
  <si>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A meadow is a field habitat vegetated by grass and other non-woody plant that has an open character and is not grazed by livestock</t>
  </si>
  <si>
    <t>Tree-covered areas which either arose naturally or as a result of plantations. This includes conifer woodland, mixed woodlands and broad-leaved woodlands etc.</t>
  </si>
  <si>
    <t>Heathland / Bog</t>
  </si>
  <si>
    <t>Please select the Development type</t>
  </si>
  <si>
    <t>House</t>
  </si>
  <si>
    <t>Designed Wetland banking coefficient</t>
  </si>
  <si>
    <t>Development will be Phosphate neutral - no mitigation will be required</t>
  </si>
  <si>
    <t>Lowland grazing</t>
  </si>
  <si>
    <t>Poultry</t>
  </si>
  <si>
    <t>Impermeable (Drained for Arable)</t>
  </si>
  <si>
    <t>Impermeable (Drained for Arable + Grassland)</t>
  </si>
  <si>
    <t>Total Phosphorus budget for the site</t>
  </si>
  <si>
    <t>{"IsHide":false,"HiddenInExcel":false,"SheetId":-1,"Name":"Info","Guid":"MWW6DG","Index":3,"VisibleRange":"","SheetTheme":{"TabColor":"","BodyColor":"","BodyImage":""},"IsPrintSheet":false}</t>
  </si>
  <si>
    <t>{"IsHide":false,"HiddenInExcel":false,"SheetId":-1,"Name":"Stage 1","Guid":"2IH9DR","Index":4,"VisibleRange":"","SheetTheme":{"TabColor":"","BodyColor":"","BodyImage":""},"IsPrintSheet":false}</t>
  </si>
  <si>
    <t>{"IsHide":false,"HiddenInExcel":false,"SheetId":-1,"Name":"Stage 2","Guid":"PBBYLW","Index":5,"VisibleRange":"","SheetTheme":{"TabColor":"","BodyColor":"","BodyImage":""},"IsPrintSheet":false}</t>
  </si>
  <si>
    <t>{"IsHide":false,"HiddenInExcel":false,"SheetId":-1,"Name":"Stage 3","Guid":"OBSXTD","Index":6,"VisibleRange":"","SheetTheme":{"TabColor":"","BodyColor":"","BodyImage":""},"IsPrintSheet":false}</t>
  </si>
  <si>
    <t>{"IsHide":false,"HiddenInExcel":false,"SheetId":-1,"Name":"Stage 4","Guid":"LE582F","Index":7,"VisibleRange":"","SheetTheme":{"TabColor":"","BodyColor":"","BodyImage":""},"IsPrintSheet":false}</t>
  </si>
  <si>
    <t>{"IsHide":true,"HiddenInExcel":false,"SheetId":-1,"Name":"Zero value Calc","Guid":"2I8WXQ","Index":8,"VisibleRange":"","SheetTheme":{"TabColor":"","BodyColor":"","BodyImage":""},"IsPrintSheet":false}</t>
  </si>
  <si>
    <t>{"IsHide":true,"HiddenInExcel":false,"SheetId":-1,"Name":"Graph Calculations","Guid":"L2SEMM","Index":9,"VisibleRange":"","SheetTheme":{"TabColor":"","BodyColor":"","BodyImage":""},"IsPrintSheet":false}</t>
  </si>
  <si>
    <t>{"IsHide":false,"HiddenInExcel":false,"SheetId":-1,"Name":"Stage 5","Guid":"HSZ08X","Index":10,"VisibleRange":"","SheetTheme":{"TabColor":"","BodyColor":"","BodyImage":""},"IsPrintSheet":false}</t>
  </si>
  <si>
    <t>{"IsHide":false,"HiddenInExcel":false,"SheetId":-1,"Name":"Stage 7","Guid":"KT56TH","Index":12,"VisibleRange":"","SheetTheme":{"TabColor":"","BodyColor":"","BodyImage":""},"IsPrintSheet":false}</t>
  </si>
  <si>
    <t>{"IsHide":true,"HiddenInExcel":false,"SheetId":-1,"Name":"Data Tables","Guid":"DHW3E9","Index":13,"VisibleRange":"","SheetTheme":{"TabColor":"","BodyColor":"","BodyImage":""},"IsPrintSheet":false}</t>
  </si>
  <si>
    <t>{"InputDetection":2,"RecalcMode":0,"Layout":0,"LayoutSamePagesHeightEnabled":false,"Theme":{"BgColor":"#FFFFFFFF","BgImage":"","InputBorderStyle":0,"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</si>
  <si>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 xml:space="preserve">This tool is designed to quantify the nutrient loading of an area of land subject to a change of land use and population, in order to identify is proposed developments will be 'nutrient neutral'. Where the proposed development will generate additional nutrients into the system, solutions in how to offset the excess nutrients and achieve neutrality are presented.  </t>
  </si>
  <si>
    <t>The methodology employed within this tool was, in part, guided by Natural England's advice on nutrient neutrality in relation to the Stodmarsh designated sites (published in November 2020) and the Natural England provided calculator (published March 2022).</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</si>
  <si>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</si>
  <si>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This nutrient budget calculator has been developed by Royal HaskoningDHV on behalf of the combined Norfolk Local Planning Authorities</t>
  </si>
  <si>
    <t>Aldborough Water Recycling Centre</t>
  </si>
  <si>
    <t>Ashmanaugh</t>
  </si>
  <si>
    <t>Ashwellthorpe Water Recycling Centre</t>
  </si>
  <si>
    <t>Aylsham Water Recycling Centre</t>
  </si>
  <si>
    <t>Barford Water Recycling Centre</t>
  </si>
  <si>
    <t>Barnham Broom Water Recycling Centre</t>
  </si>
  <si>
    <t>Barton Turf</t>
  </si>
  <si>
    <t>Belaugh Water Recycling Centre</t>
  </si>
  <si>
    <t>Billingford STW</t>
  </si>
  <si>
    <t>Bircham Newton (Monks Close) WRC</t>
  </si>
  <si>
    <t>Brisley</t>
  </si>
  <si>
    <t>Briston Water Recycling Centre</t>
  </si>
  <si>
    <t>Bunwell STW</t>
  </si>
  <si>
    <t>Bylaugh Water Recycling Centre</t>
  </si>
  <si>
    <t>Carleton Rode Church Road</t>
  </si>
  <si>
    <t>Carleton Rode STW</t>
  </si>
  <si>
    <t>Coltishall STW</t>
  </si>
  <si>
    <t>Corpusty STW</t>
  </si>
  <si>
    <t>Cranworth STW</t>
  </si>
  <si>
    <t>Deopham STW</t>
  </si>
  <si>
    <t>Dereham WRC</t>
  </si>
  <si>
    <t>East Bilney STW</t>
  </si>
  <si>
    <t>East Carleton - Wymondham Road STW</t>
  </si>
  <si>
    <t>East Ruston STW</t>
  </si>
  <si>
    <t>Fakenham (Old And New) WRC</t>
  </si>
  <si>
    <t>Felmingham Water Recycling Centre</t>
  </si>
  <si>
    <t>Forncett End STW</t>
  </si>
  <si>
    <t>Forncett St. Peter STW</t>
  </si>
  <si>
    <t>Foulsham Water Recycling Centre</t>
  </si>
  <si>
    <t>Fritton School Lane STW</t>
  </si>
  <si>
    <t>Fundenhall STW</t>
  </si>
  <si>
    <t>Garvestone Reymerston Road STW</t>
  </si>
  <si>
    <t>Garvestone, Dereham Road</t>
  </si>
  <si>
    <t>Gateley STW</t>
  </si>
  <si>
    <t>Great Melton STW</t>
  </si>
  <si>
    <t>Gresham STW</t>
  </si>
  <si>
    <t>Hardwick STW</t>
  </si>
  <si>
    <t>Hempnall Water Recycling Centre</t>
  </si>
  <si>
    <t>Hempnell - Silver Green STW</t>
  </si>
  <si>
    <t>Hindolveston Church Lane</t>
  </si>
  <si>
    <t>Hindolveston STW</t>
  </si>
  <si>
    <t>Hockering STW</t>
  </si>
  <si>
    <t>Horningtoft</t>
  </si>
  <si>
    <t>Horsey - Bensleys Close STW</t>
  </si>
  <si>
    <t>Honing STW</t>
  </si>
  <si>
    <t>Little Fransham Crown Lane STW</t>
  </si>
  <si>
    <t>Little Fransham Glebe STW</t>
  </si>
  <si>
    <t>Long Stratton WRC</t>
  </si>
  <si>
    <t>Mattishall STW</t>
  </si>
  <si>
    <t>North Elmham STW</t>
  </si>
  <si>
    <t>North Tuddenham STW</t>
  </si>
  <si>
    <t>Rackheath Water Recycling Centre</t>
  </si>
  <si>
    <t>Reepham Water Recycling Centre</t>
  </si>
  <si>
    <t>Ridlington(Norfolk) STW</t>
  </si>
  <si>
    <t>Roughton Water Recycling Centre</t>
  </si>
  <si>
    <t>Saxlingham STW</t>
  </si>
  <si>
    <t>Spooner Row School Lane STW</t>
  </si>
  <si>
    <t>Sculthorpe STW</t>
  </si>
  <si>
    <t>Shipdham STW</t>
  </si>
  <si>
    <t>Shotesham The Grove STW</t>
  </si>
  <si>
    <t>Skeyton STW</t>
  </si>
  <si>
    <t>Sloley STW</t>
  </si>
  <si>
    <t>Smallburgh STW</t>
  </si>
  <si>
    <t>South Raynham</t>
  </si>
  <si>
    <t>Southrepps STW</t>
  </si>
  <si>
    <t>Sparham Norwich Road WRC</t>
  </si>
  <si>
    <t>Sparham(Wells Close)</t>
  </si>
  <si>
    <t>Stalham Water Recycling Centre</t>
  </si>
  <si>
    <t>Stanfield STW</t>
  </si>
  <si>
    <t>Stibbard Moor End STW</t>
  </si>
  <si>
    <t>Stoke Holy Cross STW</t>
  </si>
  <si>
    <t>Swanton Abbott STW</t>
  </si>
  <si>
    <t>Swanton Morley Water Recycling Centre</t>
  </si>
  <si>
    <t>Swanton Novers STW</t>
  </si>
  <si>
    <t>Swardeston STW</t>
  </si>
  <si>
    <t>Tibenham The Street STW</t>
  </si>
  <si>
    <t>Weasenham All Saints STW</t>
  </si>
  <si>
    <t>Weasenham St.Peter STW</t>
  </si>
  <si>
    <t>Wendling STW</t>
  </si>
  <si>
    <t>West Raynham STW</t>
  </si>
  <si>
    <t>Whinburgh</t>
  </si>
  <si>
    <t>Whitlingham Water Recycling Centre</t>
  </si>
  <si>
    <t>Wymondham Water Recycling Centre</t>
  </si>
  <si>
    <t>Impermeable - drained for arable &amp; grassland</t>
  </si>
  <si>
    <t>Impermeable - drained for arable</t>
  </si>
  <si>
    <t>colour</t>
  </si>
  <si>
    <t>Number of dwellings proposed</t>
  </si>
  <si>
    <t>Is sewage to be handled by Onsite treatment plants?</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</si>
  <si>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</si>
  <si>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Wastewater volume generated</t>
  </si>
  <si>
    <t>Select the type of On-site treatment works</t>
  </si>
  <si>
    <t>mg/l</t>
  </si>
  <si>
    <t>TP budget for Onsite treatment plants</t>
  </si>
  <si>
    <t>Phosphorus discharge level</t>
  </si>
  <si>
    <t>Nitrogen discharge level</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</si>
  <si>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</si>
  <si>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Package treatment plant</t>
  </si>
  <si>
    <t>Default package treatment plant</t>
  </si>
  <si>
    <t>Treatment type</t>
  </si>
  <si>
    <t>P removal</t>
  </si>
  <si>
    <t>N removal</t>
  </si>
  <si>
    <t>Please enter effluent concentration in cell to right:</t>
  </si>
  <si>
    <t>Default multi-source septic tank</t>
  </si>
  <si>
    <t>Default single-source septic tank</t>
  </si>
  <si>
    <t>3a.</t>
  </si>
  <si>
    <t>3b.</t>
  </si>
  <si>
    <t>Select the soil drainage type</t>
  </si>
  <si>
    <t>Select the Catchment</t>
  </si>
  <si>
    <t>Within Nitrate Vulnerable Zone (NVZ)</t>
  </si>
  <si>
    <t>mm/yr</t>
  </si>
  <si>
    <t>Select annual average rainfall band</t>
  </si>
  <si>
    <t>Freely draining</t>
  </si>
  <si>
    <t>Wensum</t>
  </si>
  <si>
    <t>Pigs</t>
  </si>
  <si>
    <t>Cereals</t>
  </si>
  <si>
    <t>Pig</t>
  </si>
  <si>
    <t>500-600 mm/yr</t>
  </si>
  <si>
    <t>600-700 mm/yr</t>
  </si>
  <si>
    <t>700-900 mm/yr</t>
  </si>
  <si>
    <t>Yare</t>
  </si>
  <si>
    <t>Bure</t>
  </si>
  <si>
    <t>Leaching rate (kg / ha / yr)2</t>
  </si>
  <si>
    <t>Mixed</t>
  </si>
  <si>
    <t>TP loading</t>
  </si>
  <si>
    <t>TN loading</t>
  </si>
  <si>
    <t>Kg/yr</t>
  </si>
  <si>
    <t>Sum total</t>
  </si>
  <si>
    <t>Water</t>
  </si>
  <si>
    <t>Greenspace</t>
  </si>
  <si>
    <t>High intensity urban land</t>
  </si>
  <si>
    <t>Medium intensity urban land</t>
  </si>
  <si>
    <t>Low intensity urban land</t>
  </si>
  <si>
    <t>Additional population load</t>
  </si>
  <si>
    <t>TN load from proposed land usage</t>
  </si>
  <si>
    <t>TP Banking coefficient</t>
  </si>
  <si>
    <t>TN Banking coefficient</t>
  </si>
  <si>
    <t>Calculate loading from proposed land usage</t>
  </si>
  <si>
    <t>Calculate loading from current land usage</t>
  </si>
  <si>
    <t>Identify the load from additional population</t>
  </si>
  <si>
    <t>TP Loading from additional population</t>
  </si>
  <si>
    <t>TN Loading from additional population</t>
  </si>
  <si>
    <t>TP load from land use change</t>
  </si>
  <si>
    <t>TN load from land use change</t>
  </si>
  <si>
    <t>TP budget for the site</t>
  </si>
  <si>
    <t>TN budget for the site</t>
  </si>
  <si>
    <t>TP Precautionary buffer</t>
  </si>
  <si>
    <t>TN Precautionary buffer</t>
  </si>
  <si>
    <t>TN proposed land use</t>
  </si>
  <si>
    <t>TN current land use</t>
  </si>
  <si>
    <t>TP percentage of development neutral</t>
  </si>
  <si>
    <t>Excess TP</t>
  </si>
  <si>
    <t>TN percentage of development neutral</t>
  </si>
  <si>
    <t>Excess TN</t>
  </si>
  <si>
    <t>Proposed nutrient load</t>
  </si>
  <si>
    <t>Current nutrient load</t>
  </si>
  <si>
    <t>TN load from current land usage</t>
  </si>
  <si>
    <t>TP loading from Wastewater</t>
  </si>
  <si>
    <t>TN loading from Wastewater</t>
  </si>
  <si>
    <t>TP Zero value calculations</t>
  </si>
  <si>
    <t>TN Zero value calculations</t>
  </si>
  <si>
    <t>Calculate the nutrient banking for the proposed development</t>
  </si>
  <si>
    <t>TN budget to be mitigated</t>
  </si>
  <si>
    <t>TP budget to be mitigated</t>
  </si>
  <si>
    <t>TP</t>
  </si>
  <si>
    <t>TN</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</si>
  <si>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</si>
  <si>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Meadow/semi-natural grassland/greenspace</t>
  </si>
  <si>
    <t>Note: This section allows the user to input the required area for the various land uses to be created, with the equivalent TP to be offset in order for the development to be nutrient neutral. The same applies as above regarding on-site mitigation.</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</si>
  <si>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</si>
  <si>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TP and TN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</si>
  <si>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area for the various land uses to be created, with the equivalent TP and TN to be offset in order for the development to be nutrient neutral. The same applies as above regarding on-site mitigation.</t>
  </si>
  <si>
    <t>Potential land uses for mitigation</t>
  </si>
  <si>
    <t>Development will be Nitrate neutral - no mitigation will be required</t>
  </si>
  <si>
    <t>Commercial / industrial</t>
  </si>
  <si>
    <t>Urban open space</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</si>
  <si>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</si>
  <si>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</si>
  <si>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</si>
  <si>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Agricultural areas on which cereals, combinable crops and set aside are farmed.</t>
  </si>
  <si>
    <t>Holdings on which fruit (including vineyards), hardy nursery stock, glasshouse flowers and vegetables, market garden scale vegetables, outdoor blubs and flowers and mushrooms account for more than two thirds of their total standard output.</t>
  </si>
  <si>
    <t>Holdings for which none of the other categories account for more than two thirds of total standard output.</t>
  </si>
  <si>
    <t>Agricultural areas on which arable crops (including field scale vegetables) are farmed.</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</si>
  <si>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</si>
  <si>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Land that contains extensive areas of either shrubs, heath or bracken. A bog refers to land that is a wetland area of muddy ground that can accumulate peat.</t>
  </si>
  <si>
    <t>Areas of surface water, including rivers, ponds and lakes.</t>
  </si>
  <si>
    <t>Area of land in urban areas used for various purposes, e.g. leisure and recreation - may include open land, e.g. sports fields, playgrounds, public squares or built facilities such as sports centres.</t>
  </si>
  <si>
    <t>Finding the operational catchment</t>
  </si>
  <si>
    <t>d) Make note of the name of the Operational Catchment and select it from the dropdown list in the relevant cell.</t>
  </si>
  <si>
    <t>a) Go to this link:  https://environment.data.gov.uk/catchment-planning/ManagementCatchment/3008</t>
  </si>
  <si>
    <t>b) This will give a high-level view of operational catchments Use the zoom feature to find the exact location of the development.</t>
  </si>
  <si>
    <t>c) Click on the light blue area on the map in which the development is located. This will inform the user of the operational catchment name</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</si>
  <si>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</si>
  <si>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</si>
  <si>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</si>
  <si>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Finding out whether the development is in a Nitrate Vulnerable Zone (NVZ):</t>
  </si>
  <si>
    <t>a) Go to this link: https://mapapps2.bgs.ac.uk/ukso/home.html?layers=NVZEng</t>
  </si>
  <si>
    <t>Unknown</t>
  </si>
  <si>
    <t>Rainfall band</t>
  </si>
  <si>
    <t>midpoint</t>
  </si>
  <si>
    <t>Catchment wetness (U)</t>
  </si>
  <si>
    <t>High density urban</t>
  </si>
  <si>
    <t>Commercial / Industrial</t>
  </si>
  <si>
    <t>550-575</t>
  </si>
  <si>
    <t>575-600</t>
  </si>
  <si>
    <t>600-625</t>
  </si>
  <si>
    <t>625-650</t>
  </si>
  <si>
    <t>650-675</t>
  </si>
  <si>
    <t>675-700</t>
  </si>
  <si>
    <t>700-750</t>
  </si>
  <si>
    <t>750-800</t>
  </si>
  <si>
    <t>800-850</t>
  </si>
  <si>
    <t>850-900</t>
  </si>
  <si>
    <t>Land use</t>
  </si>
  <si>
    <t>EMC (mg/l)</t>
  </si>
  <si>
    <t>Imperviousness (%)</t>
  </si>
  <si>
    <t>Urban open Space</t>
  </si>
  <si>
    <t>Current TP permit limit (mg/l)</t>
  </si>
  <si>
    <t>Post-2025 TP permit limit (mg/l)</t>
  </si>
  <si>
    <t>Calculate nutrient load (Kg/year) derived from the development as a result of increased population</t>
  </si>
  <si>
    <t>Calculate nutrient load after treatment</t>
  </si>
  <si>
    <t>TP discharged by on-site treatment plant</t>
  </si>
  <si>
    <t>TN discharged by on-site treatment plant</t>
  </si>
  <si>
    <t>TP load from additional population</t>
  </si>
  <si>
    <t>Calculate the net change in nutrient load from the proposed development</t>
  </si>
  <si>
    <t>Calculate net change in nutrient load from land use change</t>
  </si>
  <si>
    <t>Calculate nutrient budget for the development site</t>
  </si>
  <si>
    <t>Calculate precautionary buffer</t>
  </si>
  <si>
    <t>Total nutrient budget for the development site</t>
  </si>
  <si>
    <t>Total Area of proposed TP mitigation land uses</t>
  </si>
  <si>
    <t>Calculate existing (pre-development) nutrient load from current land use of the development</t>
  </si>
  <si>
    <t>Calculate nutrient load for the proposed development</t>
  </si>
  <si>
    <t>Total Nitrogen budget for the site</t>
  </si>
  <si>
    <t>Nutrient budget to be mitigated</t>
  </si>
  <si>
    <t>Note: Rainfall can be identified using the map on the Rainfall tab</t>
  </si>
  <si>
    <t>{"IsHide":false,"HiddenInExcel":false,"SheetId":-1,"Name":"Sheet1","Guid":"M3N0WR","Index":1,"VisibleRange":"","SheetTheme":{"TabColor":"","BodyColor":"","BodyImage":""},"IsPrintSheet":false}</t>
  </si>
  <si>
    <t>{"IsHide":false,"HiddenInExcel":false,"SheetId":-1,"Name":"Help","Guid":"GH02KY","Index":2,"VisibleRange":"","SheetTheme":{"TabColor":"","BodyColor":"","BodyImage":""},"IsPrintSheet":false}</t>
  </si>
  <si>
    <t>{"IsHide":false,"HiddenInExcel":false,"SheetId":-1,"Name":"Stage 6","Guid":"02A03G","Index":11,"VisibleRange":"","SheetTheme":{"TabColor":"","BodyColor":"","BodyImage":""},"IsPrintSheet":false}</t>
  </si>
  <si>
    <t>Calculate loading from wastewater with onsite treatment plants</t>
  </si>
  <si>
    <t>General arable</t>
  </si>
  <si>
    <t>Green space</t>
  </si>
  <si>
    <t>Open urban space</t>
  </si>
  <si>
    <t>kg/ha/year</t>
  </si>
  <si>
    <t>Note: The sum total of land uses must equal the development site area inputted in Stage 2 - the box will colour red if the areas do not match. Wetland refers to specific wetland related to a watercourse. For more information, please refer to the land use definitions in the help tab.</t>
  </si>
  <si>
    <t>TP budget that would exit the Water Recycling Centre (WRC) after treatment</t>
  </si>
  <si>
    <t>Confirm receiving WRC and discharge level</t>
  </si>
  <si>
    <t>Select the WRC the development will connect to</t>
  </si>
  <si>
    <t>Phosphorus WRC discharge level</t>
  </si>
  <si>
    <t>Nitrogen WRC discharge level</t>
  </si>
  <si>
    <t>Calculate the nutrient load discharged by the WRC</t>
  </si>
  <si>
    <t>TP discharged by WRC</t>
  </si>
  <si>
    <t>TN discharged by WRC</t>
  </si>
  <si>
    <t xml:space="preserve">This tool is only necessary for proposed developments that have the potential to increase nutrient loading to rivers that flow into the River Wensum SAC and the Broads SAC. Where a site  drains to a Water Recycling Centre (WRC) outside of the catchment then Stage 1 then no likely significant effects can be determined. </t>
  </si>
  <si>
    <t>Water Recycling centres</t>
  </si>
  <si>
    <t>Water Recycling Centre Permit Limits</t>
  </si>
  <si>
    <t>Please select how the sewage from the proposed development will be handled, noting that a development must be handled by either a water recycling centre or onsite treatment plants, and cannot be handled by both. Consideration of wastewater loading is not required where a site drains to a WRC that does not drain in to the River Wensum or the Broads catchments</t>
  </si>
  <si>
    <t>Is sewage to be handled by water recycling centre?</t>
  </si>
  <si>
    <t>Current WRC</t>
  </si>
  <si>
    <t>Note: This section demonstrates to the user the amount of mitigation land that is no longer required for the project to be 'Phosphate Neutral' following implementation of the AMP7 WRC permit limits</t>
  </si>
  <si>
    <t>Difference in TP mitigation land uses between current WRC permit limits and post 2025 WRC permit limits</t>
  </si>
  <si>
    <t>Water Recycling Centre (WRC)</t>
  </si>
  <si>
    <t>Note: Please input the banking coefficient (i.e. the nutrient removal amount in kg/ha/yr) calculated for the designed wetland / SuDS. The calculated value should be justifiable with supporting evidence.</t>
  </si>
  <si>
    <t xml:space="preserve">Note: This section provides details on the number of proposed dwellings that can be built and occupied that are acceptable as nutrient neutral prior to the implementation of mitigation measures, should they be required. </t>
  </si>
  <si>
    <t>Post-2030 TP permit limit (mg/l)</t>
  </si>
  <si>
    <t>Post-2030 TN permit limit (mg/l)</t>
  </si>
  <si>
    <t>Current discharge</t>
  </si>
  <si>
    <t>Post 2030 discharge</t>
  </si>
  <si>
    <t>Post 2030</t>
  </si>
  <si>
    <t>Current</t>
  </si>
  <si>
    <t>Current TP discharge concentration</t>
  </si>
  <si>
    <t>Current TN discharge concentration</t>
  </si>
  <si>
    <t>Post 2030 TP discharge concentration</t>
  </si>
  <si>
    <t>Post 2030 TN discharge concentration</t>
  </si>
  <si>
    <t>Development will generate additional Phosphate (Mitigation required) - Please progress to 'Mitigation current' tab</t>
  </si>
  <si>
    <t>Development will generate additional Phosphate (Mitigation required) - Please progress to 'Mitigation - post 2025' tab</t>
  </si>
  <si>
    <t>Development will generate additional Nitrate (Mitigation required) - Please progress to 'mitigation - current' tab</t>
  </si>
  <si>
    <t>Development will generate additional Nitrate (Mitigation required) - Please progress to 'Mitigation - post 2030' tab</t>
  </si>
  <si>
    <t>Development will generate additional Phosphate (Mitigation required) - Please progress to 'Mitigation - post 2030' tab</t>
  </si>
  <si>
    <t>Current TP loading</t>
  </si>
  <si>
    <t>Post 2030 TP loading</t>
  </si>
  <si>
    <t>Current TN loading</t>
  </si>
  <si>
    <t>Post 2030 TN loading</t>
  </si>
  <si>
    <t>Post 2030 WRC</t>
  </si>
  <si>
    <t>Mitigation - current</t>
  </si>
  <si>
    <t>Mitigation - post 2025</t>
  </si>
  <si>
    <t>Mitigation - post 2030</t>
  </si>
  <si>
    <t>2030 Value known?</t>
  </si>
  <si>
    <t>Post 2030 TP discharge level (mg/l)</t>
  </si>
  <si>
    <t>Post 2025 TN Discharge level (mg/l)</t>
  </si>
  <si>
    <t>Post 2025 TP Discharge level (mg/l)</t>
  </si>
  <si>
    <t>Post 2030 TN discharge level (mg/l)</t>
  </si>
  <si>
    <t>2022 TN Discharge level (mg/l)</t>
  </si>
  <si>
    <t>2022 TP Discharge level (mg/l)</t>
  </si>
  <si>
    <t>2022 Value known?</t>
  </si>
  <si>
    <t>High density residential</t>
  </si>
  <si>
    <t>Medium density residential</t>
  </si>
  <si>
    <t>Low density residential</t>
  </si>
  <si>
    <t>TN load from additional population</t>
  </si>
  <si>
    <t xml:space="preserve">Areas of houses and associated infrastructure. This is inclusive of roads, driveways, grass verges and gardens. 
High density often applies to urban cores. High density residential developments will typically have greater than 50 units per hectare. </t>
  </si>
  <si>
    <t xml:space="preserve">Medium density residential would apply to larger towns whereby there is a high percentage of development but situated outside of core cities. Medium density residential developments will typically have between 25 -50 units per hectare. </t>
  </si>
  <si>
    <t xml:space="preserve">Rural communities are classed under low density residential land. Low density residential developments will typically have less than 25 units per hectare. </t>
  </si>
  <si>
    <t>WRC permit limits</t>
  </si>
  <si>
    <t>Note: Use the Link in the introduction tab to find the appropriate catchment</t>
  </si>
  <si>
    <t>Note: Use the criteria table in the introduction tab to identify if the soil type</t>
  </si>
  <si>
    <t>Allotment</t>
  </si>
  <si>
    <t>The drainage characteristics of soil has a control over the dominant flow pathways for pollutant losses and as such controls the loading of Phosphate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t>
  </si>
  <si>
    <t>a) The user should use the Soilscapes tool (Cranfield soil and Agrifood institute, 2020) to determine the dominant soil type on their site. Soilscapes can be found at http://www.landis.org.uk/soilscapes/index.cfm</t>
  </si>
  <si>
    <t>c) Once the area has been located, click on the map where the development is located to find out the ID number and name of the soil type.</t>
  </si>
  <si>
    <t>b) Zoom into the development site on the map</t>
  </si>
  <si>
    <t>d) Make note of this and determine the drainage type using the below table</t>
  </si>
  <si>
    <t>a</t>
  </si>
  <si>
    <t>b</t>
  </si>
  <si>
    <t>c</t>
  </si>
  <si>
    <t>The user should select the value from the following drop-down list that applies to the development. Use the links below or navigate to the 'Introduction' tab to find instructions on how this information can be acquired.</t>
  </si>
  <si>
    <t>Note: Use the Link in the introduction tab to find out whether the development is in a Nitrate Vulnerable Zone (NVZ)</t>
  </si>
  <si>
    <t>Input the area of the existing land use type(s)</t>
  </si>
  <si>
    <t>Introduction Tab</t>
  </si>
  <si>
    <t>Information tab</t>
  </si>
  <si>
    <t>Mitigation comparison</t>
  </si>
  <si>
    <t>Zero value calculator</t>
  </si>
  <si>
    <t>Rainfall Tab</t>
  </si>
  <si>
    <r>
      <t>HaskoningDHV UK Ltd., a company of</t>
    </r>
    <r>
      <rPr>
        <b/>
        <sz val="12"/>
        <color rgb="FF000000"/>
        <rFont val="Calibri"/>
        <family val="2"/>
        <scheme val="minor"/>
      </rPr>
      <t xml:space="preserve"> </t>
    </r>
    <r>
      <rPr>
        <sz val="12"/>
        <color rgb="FF000000"/>
        <rFont val="Calibri"/>
        <family val="2"/>
        <scheme val="minor"/>
      </rPr>
      <t>Royal HaskoningDHV
Westpoint, Lynch Wood Business Park,
Peterborough PE2 6FZ
Registered in England 1336844
W: www.royalhaskoningdhv.com</t>
    </r>
  </si>
  <si>
    <t xml:space="preserve">The Rainfall tab shows the average annual rainfall in the nutrient neutrality area for the period 2001 to 2021. The rainfall is split into the following bands: 550-575 mm/yr, 575-600mm/yr, 600-625mm/yr, 625-650mm/yr, 650-675mm/yr, 675-700mm/yr, 700-750mm/yr, 750-800mm/yr and 800-850mm/yr. Rainfall amounts are typically the greatest in the north and west of the catchment and lowest in the south and east. </t>
  </si>
  <si>
    <r>
      <rPr>
        <b/>
        <sz val="12"/>
        <color rgb="FF000000"/>
        <rFont val="Calibri"/>
        <family val="2"/>
        <scheme val="minor"/>
      </rPr>
      <t>Stage 1</t>
    </r>
    <r>
      <rPr>
        <sz val="12"/>
        <color rgb="FF000000"/>
        <rFont val="Calibri"/>
        <family val="2"/>
        <scheme val="minor"/>
      </rPr>
      <t xml:space="preserve"> </t>
    </r>
  </si>
  <si>
    <r>
      <t xml:space="preserve">Number of </t>
    </r>
    <r>
      <rPr>
        <b/>
        <sz val="12"/>
        <color rgb="FF000000"/>
        <rFont val="Calibri"/>
        <family val="2"/>
        <scheme val="minor"/>
      </rPr>
      <t>additional</t>
    </r>
    <r>
      <rPr>
        <sz val="12"/>
        <color rgb="FF000000"/>
        <rFont val="Calibri"/>
        <family val="2"/>
        <scheme val="minor"/>
      </rPr>
      <t xml:space="preserve"> rooms above 6 residents (sui generis) for houses in multiple occupation</t>
    </r>
  </si>
  <si>
    <r>
      <t xml:space="preserve">Note: This section is only required for projects that will generate additional nutrients and as a result need to implement mitigation measures, in order to achieve nutrient neutrality under the </t>
    </r>
    <r>
      <rPr>
        <b/>
        <i/>
        <sz val="12"/>
        <color rgb="FF000000"/>
        <rFont val="Calibri"/>
        <family val="2"/>
        <scheme val="minor"/>
      </rPr>
      <t>current WRC permit limits</t>
    </r>
    <r>
      <rPr>
        <i/>
        <sz val="12"/>
        <color rgb="FF000000"/>
        <rFont val="Calibri"/>
        <family val="2"/>
        <scheme val="minor"/>
      </rPr>
      <t xml:space="preserve">. </t>
    </r>
  </si>
  <si>
    <r>
      <t>Note: This section is only required for projects that will generate additional nutrients and as a result need to implement mitigation measures, in order to achieve nutrient neutrality under the</t>
    </r>
    <r>
      <rPr>
        <b/>
        <i/>
        <sz val="12"/>
        <color rgb="FF000000"/>
        <rFont val="Calibri"/>
        <family val="2"/>
        <scheme val="minor"/>
      </rPr>
      <t xml:space="preserve"> post 2025 WRC permit limits. </t>
    </r>
  </si>
  <si>
    <t>90% permit</t>
  </si>
  <si>
    <t>Average removal rate (76%)</t>
  </si>
  <si>
    <t>A letter from Natural England (dated 16 March 2022) advised that new development within the catchment of these habitats comprising overnight accommodation can cause adverse impacts on nutrient pollution. Such development includes, but is not limited to:
- new homes 
- student accommodation 
- care homes
- tourism attractions
- tourist accommodation
- permitted development (which gives rise to new overnight accommodation) under the Town and Country Planning (General Permitted Development) (England) Order 2015
- any development not involving overnight accommodation but which may have non-sewerage water quality implications</t>
  </si>
  <si>
    <t>Note: If the sewage is to be treated by WRCs then the user should select "Yes" in the list above. If package treatment plants are to be used instead, then the user should select "No" above. 
This is the process of collecting wastewater from houses and guiding it, via the sewage network, to a WRC (also known as sewage works). The nutrient concentration of the influent is calculated by multiplying the number of people by the expected water usage per day. The nutrient concentration within the effluent is calculated by applying the discharge level of the appropriate WRC. The nutrient loading is expressed in kg/year.</t>
  </si>
  <si>
    <t>d</t>
  </si>
  <si>
    <t>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the mitigation stages (if mitigation is required).</t>
  </si>
  <si>
    <t xml:space="preserve">Note: This stage calculates the net change in TP and TN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post-2025 WRC permit levels, where applicable. The nutrient budgets under proposed Post 2030 permit limits are for guidance purposes only until the permit limits are put into legislation. </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</si>
  <si>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20% precautionary buffer added to the nutrient budget.</t>
  </si>
  <si>
    <t>This cell contains values relevant under proposed 2030 permit limits which are only for guidance purposes</t>
  </si>
  <si>
    <t>The Water industry is looking to update and bring in new final effluent phosphate consent which should come in before 2025, as part of the Water Industry National Environment Programme (WINEP). The enhancements are required to meet more onerous environmental permit requirements. Some WRCs in the catchment already operate at a permit limit. However, following plans by Anglian Water under AMP7, improvements will be made to some WRCs. Further information regarding post-2025 permit limits can be found below. Where sites do not have a permit limit, a default value of 5mg/l has been applied based on the value applied by the Environment Agency routinely for modelling purposes. Proposed April 2030 permit limit reductions were also included following the Department for Levelling Up, Housing and Communities announcement on the 18th November 2022. It was assumed that only wastewater treatment works with a current population equivalent of greater than 2000 would be operating at Technically Achievable Limit (TAL) by 2030. The TAL for TP and TN is 0.25mg/l and 10mg/l, respectively. The 2030 figures are included for guidance purposes only and cannot be relied upon until the Levelling Up and Regeneration Bill is passed into legislation (expected Spring 2023).</t>
  </si>
  <si>
    <t>Note: Please use the drop down lists to select the WRC that the proposed development will be connected to. If the WRC is not known, then please select 'Unknown' from the drop down list.  
The 2030 permit limits are included for guidance purposes only and cannot be relied upon until the Levelling Up and Regeneration Bill is passed into legislation.</t>
  </si>
  <si>
    <r>
      <t xml:space="preserve">Note: This calculation should only include the </t>
    </r>
    <r>
      <rPr>
        <b/>
        <i/>
        <sz val="12"/>
        <color rgb="FF000000"/>
        <rFont val="Calibri"/>
        <family val="2"/>
        <scheme val="minor"/>
      </rPr>
      <t>additional</t>
    </r>
    <r>
      <rPr>
        <i/>
        <sz val="12"/>
        <color rgb="FF000000"/>
        <rFont val="Calibri"/>
        <family val="2"/>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
The user should input the relevant number of dwellings into options a, b or c below. In the case of residential developments, only option a is required. </t>
    </r>
  </si>
  <si>
    <t>Nutrient budget calculator, V2.1 (Released March 2023)</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</si>
  <si>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(Amendment)(EU Exit) Regulations 2019. As such, Natural England's view is that any development proposal that adds nutrients into the catchment of internationally important sites, such as the River Wensum SAC and the Broads SAC, is likely to have a significant effect. Proposed developments likely to affect European Sites should be subject to Habitats Regulations Assessment to assess the Likely Significant Affect on the SAC. Applications within the Wensum and Broads catchments will have a Likely Effect and will require an Appropriate Assessment (i.e. the nutrient calculator) to assess the implications of the proposal on the designated sites.</t>
  </si>
  <si>
    <t xml:space="preserve">The River Wensum SAC catchment is subject to nutrient neutrality guidance regarding excessive phosphorus concentrations. Development within the catchment must be phosphorus (P) neutral, or deliver phosphorus mitigation to achieve neutrality. The mitigation should be upstream of where the nutrients will impact the designated site, which for developments draining to mains sewerage will be the point at which the effluent flows into the River Wensum Site of Special Scientific Interest (SSSI) and SAC. Dereham, Foulsham and Reepham wastewater treatment works all drain to a tributary of the River Wensum SAC and the mitigation should be delivered upstream of where the tributary meets the SAC. Developments using onsite package treatment plants will need to provide mitigation upstream of the development site. </t>
  </si>
  <si>
    <t xml:space="preserve">The Broads SAC is subject to nutrient neutrality regarding excessive phosphorus and nitrogen (N) mitigation. The Broads SAC can be split into the following SSSI component sites:
- Ant Broads and Marshes SSSI
- Upper Thurne Broad and Marshes SSSI
- Trinity Broads SSSI
- Yare Broads and Marshes SSSI
Each of the SSSI component sites has an independent catchment and mitigation must be delivered within the same catchment as the development. The Bure Broads and Marshes, Ant Broads and Marshes, Upper Thurne Broads and Marshes and Trinity Broads and Marshes are located within the River Bure operational catchment for the purposes of this calculator (Stage 2). The Yare Broads and Marshes is within the River Yare catchment and the upstream catchment also includes the entire River Wensum catchment, which has its confluence with the River Yare in Whitlingham. Therefore, a development in the Wensum catchment must provide P mitigation within the Wensum catchment and N mitigation within either the Wensum or Yare catchment.
A development site may be located in one surface water (e.g. Wensum) catchment but the wastewater discharge will be within a different surface water catchment (e.g. Yare).  </t>
  </si>
  <si>
    <t>This tool consists of eight 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
Mitigation - post 2030 - Calculates the required solutions to achieve nutrient neutrality under AMP8 wastewater permit limits
Mitigation land use comparison - Calculates the difference in mitigation solutions between current wastewater permit limits and post-2030 permit limits</t>
  </si>
  <si>
    <t>Mitigation - Current</t>
  </si>
  <si>
    <r>
      <t>This stage calculates the nutrient load from the current land use.
Step 1: The user should select the appropriate catchment, drainage type, rainfall band and NVZ.
Step 2: The user should input the area (hectares) of the current land uses that make up the total area of the development site. A GIS viewer can be used to identify the land uses on a coarse scale (</t>
    </r>
    <r>
      <rPr>
        <b/>
        <sz val="12"/>
        <color theme="1"/>
        <rFont val="Calibri"/>
        <family val="2"/>
        <scheme val="minor"/>
      </rPr>
      <t>https://gridreferencefinder.com/</t>
    </r>
    <r>
      <rPr>
        <sz val="12"/>
        <color theme="1"/>
        <rFont val="Calibri"/>
        <family val="2"/>
        <scheme val="minor"/>
      </rPr>
      <t>). However, if more detail is known about the site land uses then this should be manually inputted by the user.</t>
    </r>
  </si>
  <si>
    <t>This stage calculates the nutrient load from the future land use.
Step 1: The user should input the proposed land uses that make up the total area of the development site. Any pre-determined on-site mitigation should also be inputted here.
Bespoke banking coefficients should be inputted for constructed wetland that can be evidenced</t>
  </si>
  <si>
    <t xml:space="preserve">This stage provides a summary of the nutrient loads calculated in stages 1-3 and presents the nutrient budget for the proposed development.
A 20% precautionary buffer is included to account for uncertainties in the runoff coefficients used.
</t>
  </si>
  <si>
    <t>This stage calculates the area and land uses of the mitigation site required for the proposed development to be nutrient neutral, under post-2025 WRC permit limits. This stage is for guidance purposes only. The steps are the same as 'Mitigation - current'.</t>
  </si>
  <si>
    <t>This stage calculates the area and land uses of the mitigation site required for the proposed development to be nutrient neutral, under post-2025 WRC permit limits. This only applies to TP. The steps are the same as 'Mitigation - current'.</t>
  </si>
  <si>
    <t>This stage provides a summary in the differences in mitigation land use area between the current WRC permit limits and the post-2030 WRC permit limits.</t>
  </si>
  <si>
    <t>This stage calculates the area and land uses of the mitigation site required for the proposed development to be nutrient neutral, under current WRC permit limits.
Step 1: The nutrient budget to be mitigated will be automatically shown
Step 2: The user should either select 'Yes' for on-site mitigation (step 2a) or 'Yes' off-site mitigation (step 2b). For on-site mitigation, the user should select the land use which the mitigation land will be replacing. Where the exact land use type is unknonw, an average value can be used.  For off-site moitigation, the catchment, soil drainage type, rainfall band and NVZ should be selected for the mitigation land and the most appririate land use(s) selected.
Step 3: This will automatically show the area required for mitigation to achieve neutrality for each land use type.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site bespoke site-specific value will need to be calculated.</t>
  </si>
  <si>
    <t>The following table is used to identify the dominant drainage type of the proposed development from the soil type identified above. The drainage type should then inform Stage 2 of the calculator.</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</si>
  <si>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This automatically calculates the wastewater volume for the development.
Step 3: The user has the option to select whether sewage from the proposed development will be handled by water recycling centres or by Onsite treatment plants. The user must select one or the other, both options cannot be used. 
Step 3a: If the proposed development is to use </t>
    </r>
    <r>
      <rPr>
        <b/>
        <sz val="12"/>
        <color rgb="FF000000"/>
        <rFont val="Calibri"/>
        <family val="2"/>
        <scheme val="minor"/>
      </rPr>
      <t>WRC</t>
    </r>
    <r>
      <rPr>
        <sz val="12"/>
        <color rgb="FF000000"/>
        <rFont val="Calibri"/>
        <family val="2"/>
        <scheme val="minor"/>
      </rPr>
      <t>, then the user should select 'Yes' from the drop down box. Following this, the user should select the WRC that the development will connect to. This will select the discharge concentration from the chosen WRC.
Step 3b: If the proposed development is to use</t>
    </r>
    <r>
      <rPr>
        <b/>
        <sz val="12"/>
        <color rgb="FF000000"/>
        <rFont val="Calibri"/>
        <family val="2"/>
        <scheme val="minor"/>
      </rPr>
      <t xml:space="preserve"> Onsite treatment plants</t>
    </r>
    <r>
      <rPr>
        <sz val="12"/>
        <color rgb="FF000000"/>
        <rFont val="Calibri"/>
        <family val="2"/>
        <scheme val="minor"/>
      </rPr>
      <t>, then the user should select 'Yes' from the drop down box. Following this, the user should input the final effluent quality of the onsite treatment plant. If the efficiency is unknown then the user should input a precautionary default values. Higher removal rates can be achieved through Package Treatment Plants (PTPs) but these will typically require additional phosphate reduction such as chemical dosing that standard PTPs may not include.   
Step 4: This automatically calculates the Total Phosphorus (TP) and Total Nitrogen (TN) loading from wastewater</t>
    </r>
  </si>
  <si>
    <t>Package treatment plant (user-defined)</t>
  </si>
  <si>
    <t>Septic tank (user-defined)</t>
  </si>
  <si>
    <t>Number of bedspaces in student accommodation</t>
  </si>
  <si>
    <t>River Wensum SAC &amp; Broads SAC Nutrient Budget Calculator V2.2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</si>
</sst>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31"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b/>
      <sz val="10"/>
      <color rgb="FF000000"/>
      <name val="Arial"/>
      <family val="2"/>
    </font>
    <font>
      <sz val="11"/>
      <color rgb="FF000000"/>
      <name val="Arial"/>
      <family val="2"/>
    </font>
    <font>
      <sz val="12"/>
      <color rgb="FF000000"/>
      <name val="Arial"/>
      <family val="2"/>
    </font>
    <font>
      <sz val="8"/>
      <color rgb="FF000000"/>
      <name val="Arial"/>
      <family val="2"/>
    </font>
    <font>
      <b/>
      <sz val="8"/>
      <color rgb="FF000000"/>
      <name val="Arial"/>
      <family val="2"/>
    </font>
    <font>
      <i/>
      <sz val="8"/>
      <color rgb="FF000000"/>
      <name val="Arial"/>
      <family val="2"/>
    </font>
    <font>
      <b/>
      <sz val="12"/>
      <color rgb="FF000000"/>
      <name val="Arial"/>
      <family val="2"/>
    </font>
    <font>
      <sz val="11"/>
      <color theme="1"/>
      <name val="Arial"/>
      <family val="2"/>
    </font>
    <font>
      <sz val="8"/>
      <name val="Arial"/>
      <family val="2"/>
    </font>
    <font>
      <b/>
      <sz val="11"/>
      <color theme="1"/>
      <name val="Calibri"/>
      <family val="2"/>
      <scheme val="minor"/>
    </font>
    <font>
      <u/>
      <sz val="10"/>
      <color theme="10"/>
      <name val="Arial"/>
      <family val="2"/>
    </font>
    <font>
      <b/>
      <sz val="12"/>
      <color rgb="FF000000"/>
      <name val="Calibri"/>
      <family val="2"/>
      <scheme val="minor"/>
    </font>
    <font>
      <b/>
      <sz val="10"/>
      <color rgb="FF000000"/>
      <name val="Calibri"/>
      <family val="2"/>
      <scheme val="minor"/>
    </font>
    <font>
      <sz val="10"/>
      <color rgb="FF000000"/>
      <name val="Calibri"/>
      <family val="2"/>
      <scheme val="minor"/>
    </font>
    <font>
      <sz val="11"/>
      <color rgb="FF000000"/>
      <name val="Calibri"/>
      <family val="2"/>
      <scheme val="minor"/>
    </font>
    <font>
      <sz val="10.5"/>
      <color rgb="FF000000"/>
      <name val="Calibri"/>
      <family val="2"/>
      <scheme val="minor"/>
    </font>
    <font>
      <sz val="10.5"/>
      <color rgb="FF000000"/>
      <name val="Arial"/>
      <family val="2"/>
    </font>
    <font>
      <sz val="12"/>
      <color rgb="FF000000"/>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2"/>
      <name val="Calibri"/>
      <family val="2"/>
      <scheme val="minor"/>
    </font>
    <font>
      <i/>
      <sz val="12"/>
      <color rgb="FF000000"/>
      <name val="Calibri"/>
      <family val="2"/>
      <scheme val="minor"/>
    </font>
    <font>
      <b/>
      <i/>
      <sz val="12"/>
      <color rgb="FF000000"/>
      <name val="Calibri"/>
      <family val="2"/>
      <scheme val="minor"/>
    </font>
    <font>
      <sz val="12"/>
      <color rgb="FFFF0000"/>
      <name val="Calibri"/>
      <family val="2"/>
      <scheme val="minor"/>
    </font>
    <font>
      <u/>
      <sz val="12"/>
      <color theme="10"/>
      <name val="Arial"/>
      <family val="2"/>
    </font>
  </fonts>
  <fills count="4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B9E8FF"/>
        <bgColor indexed="64"/>
      </patternFill>
    </fill>
    <fill>
      <patternFill patternType="solid">
        <fgColor rgb="FFFFFFCC"/>
        <bgColor indexed="64"/>
      </patternFill>
    </fill>
    <fill>
      <patternFill patternType="solid">
        <fgColor rgb="FFFFFF00"/>
        <bgColor indexed="64"/>
      </patternFill>
    </fill>
    <fill>
      <patternFill patternType="solid">
        <fgColor rgb="FFF0EA00"/>
        <bgColor indexed="64"/>
      </patternFill>
    </fill>
    <fill>
      <patternFill patternType="solid">
        <fgColor rgb="FFE0C0A0"/>
        <bgColor indexed="64"/>
      </patternFill>
    </fill>
    <fill>
      <patternFill patternType="solid">
        <fgColor rgb="FFCC6600"/>
        <bgColor indexed="64"/>
      </patternFill>
    </fill>
    <fill>
      <patternFill patternType="solid">
        <fgColor rgb="FF996633"/>
        <bgColor indexed="64"/>
      </patternFill>
    </fill>
    <fill>
      <patternFill patternType="solid">
        <fgColor rgb="FF603000"/>
        <bgColor indexed="64"/>
      </patternFill>
    </fill>
    <fill>
      <patternFill patternType="solid">
        <fgColor rgb="FFA29E00"/>
        <bgColor indexed="64"/>
      </patternFill>
    </fill>
    <fill>
      <patternFill patternType="solid">
        <fgColor rgb="FFDE8400"/>
        <bgColor indexed="64"/>
      </patternFill>
    </fill>
    <fill>
      <patternFill patternType="solid">
        <fgColor rgb="FFF1EFDB"/>
        <bgColor indexed="64"/>
      </patternFill>
    </fill>
    <fill>
      <patternFill patternType="solid">
        <fgColor rgb="FFF69CAB"/>
        <bgColor indexed="64"/>
      </patternFill>
    </fill>
    <fill>
      <patternFill patternType="solid">
        <fgColor rgb="FFFD7835"/>
        <bgColor indexed="64"/>
      </patternFill>
    </fill>
    <fill>
      <patternFill patternType="solid">
        <fgColor rgb="FFC40000"/>
        <bgColor indexed="64"/>
      </patternFill>
    </fill>
    <fill>
      <patternFill patternType="solid">
        <fgColor rgb="FFFFCCFF"/>
        <bgColor indexed="64"/>
      </patternFill>
    </fill>
    <fill>
      <patternFill patternType="solid">
        <fgColor rgb="FF00FE00"/>
        <bgColor indexed="64"/>
      </patternFill>
    </fill>
    <fill>
      <patternFill patternType="solid">
        <fgColor rgb="FF269A26"/>
        <bgColor indexed="64"/>
      </patternFill>
    </fill>
    <fill>
      <patternFill patternType="solid">
        <fgColor rgb="FFB2FF8B"/>
        <bgColor indexed="64"/>
      </patternFill>
    </fill>
    <fill>
      <patternFill patternType="solid">
        <fgColor rgb="FF33CCFF"/>
        <bgColor indexed="64"/>
      </patternFill>
    </fill>
    <fill>
      <patternFill patternType="solid">
        <fgColor rgb="FF3399FF"/>
        <bgColor indexed="64"/>
      </patternFill>
    </fill>
    <fill>
      <patternFill patternType="solid">
        <fgColor rgb="FF8C8CB2"/>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theme="7" tint="0.79998168889431442"/>
        <bgColor indexed="64"/>
      </patternFill>
    </fill>
    <fill>
      <patternFill patternType="solid">
        <fgColor rgb="FFDDEBF7"/>
        <bgColor indexed="64"/>
      </patternFill>
    </fill>
    <fill>
      <patternFill patternType="solid">
        <fgColor theme="9" tint="0.79998168889431442"/>
        <bgColor indexed="64"/>
      </patternFill>
    </fill>
    <fill>
      <patternFill patternType="solid">
        <fgColor rgb="FFD6F4FE"/>
        <bgColor indexed="64"/>
      </patternFill>
    </fill>
    <fill>
      <patternFill patternType="solid">
        <fgColor rgb="FFFFF2CC"/>
        <bgColor indexed="64"/>
      </patternFill>
    </fill>
    <fill>
      <patternFill patternType="solid">
        <fgColor rgb="FFFFFFFF"/>
        <bgColor indexed="64"/>
      </patternFill>
    </fill>
    <fill>
      <patternFill patternType="solid">
        <fgColor rgb="FFFFC000"/>
        <bgColor indexed="64"/>
      </patternFill>
    </fill>
    <fill>
      <patternFill patternType="solid">
        <fgColor theme="7"/>
        <bgColor indexed="64"/>
      </patternFill>
    </fill>
    <fill>
      <patternFill patternType="solid">
        <fgColor theme="5" tint="0.59999389629810485"/>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5">
    <xf numFmtId="0" fontId="0" fillId="0" borderId="0"/>
    <xf numFmtId="9" fontId="3" fillId="0" borderId="0" applyFont="0" applyFill="0" applyBorder="0" applyAlignment="0" applyProtection="0"/>
    <xf numFmtId="0" fontId="11" fillId="0" borderId="0"/>
    <xf numFmtId="0" fontId="11" fillId="0" borderId="0"/>
    <xf numFmtId="0" fontId="14" fillId="0" borderId="0" applyNumberFormat="0" applyFill="0" applyBorder="0" applyAlignment="0" applyProtection="0"/>
  </cellStyleXfs>
  <cellXfs count="489">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5" fillId="2" borderId="0" xfId="0" applyFont="1" applyFill="1"/>
    <xf numFmtId="0" fontId="0" fillId="2" borderId="0" xfId="0" applyFill="1" applyAlignment="1">
      <alignment horizontal="center" wrapText="1"/>
    </xf>
    <xf numFmtId="0" fontId="0" fillId="2" borderId="0" xfId="0" applyFill="1" applyAlignment="1">
      <alignment vertical="center"/>
    </xf>
    <xf numFmtId="2" fontId="0" fillId="0" borderId="0" xfId="0" applyNumberFormat="1"/>
    <xf numFmtId="164" fontId="0" fillId="0" borderId="0" xfId="0" applyNumberFormat="1"/>
    <xf numFmtId="0" fontId="0" fillId="0" borderId="0" xfId="0" applyAlignment="1">
      <alignment horizontal="center" vertical="center"/>
    </xf>
    <xf numFmtId="9" fontId="4" fillId="0" borderId="0" xfId="1" applyFont="1"/>
    <xf numFmtId="0" fontId="0" fillId="0" borderId="5" xfId="0" applyBorder="1"/>
    <xf numFmtId="0" fontId="0" fillId="0" borderId="8" xfId="0" applyBorder="1"/>
    <xf numFmtId="2" fontId="4" fillId="0" borderId="0" xfId="0" applyNumberFormat="1" applyFont="1" applyAlignment="1">
      <alignment horizontal="center" vertical="center"/>
    </xf>
    <xf numFmtId="0" fontId="6" fillId="0" borderId="0" xfId="0" applyFont="1"/>
    <xf numFmtId="0" fontId="0" fillId="0" borderId="0" xfId="0" applyAlignment="1">
      <alignment horizontal="center"/>
    </xf>
    <xf numFmtId="0" fontId="7" fillId="0" borderId="0" xfId="0" applyFont="1" applyAlignment="1">
      <alignment horizontal="right" vertical="center"/>
    </xf>
    <xf numFmtId="0" fontId="0" fillId="0" borderId="0" xfId="0" applyAlignment="1">
      <alignment vertical="center"/>
    </xf>
    <xf numFmtId="0" fontId="4" fillId="0" borderId="0" xfId="0" applyFont="1"/>
    <xf numFmtId="0" fontId="7" fillId="0" borderId="0" xfId="0" applyFont="1" applyAlignment="1">
      <alignment horizontal="right" wrapText="1"/>
    </xf>
    <xf numFmtId="0" fontId="7" fillId="0" borderId="0" xfId="0" applyFont="1" applyAlignment="1">
      <alignment horizontal="right"/>
    </xf>
    <xf numFmtId="0" fontId="8" fillId="0" borderId="0" xfId="0" applyFont="1" applyAlignment="1">
      <alignment horizontal="right" vertical="center"/>
    </xf>
    <xf numFmtId="0" fontId="9" fillId="0" borderId="0" xfId="0" applyFont="1" applyAlignment="1">
      <alignment horizontal="left" vertical="center" wrapText="1"/>
    </xf>
    <xf numFmtId="0" fontId="7" fillId="0" borderId="0" xfId="0" applyFont="1" applyAlignment="1">
      <alignment horizontal="right" vertical="center" wrapText="1"/>
    </xf>
    <xf numFmtId="164" fontId="0" fillId="0" borderId="0" xfId="0" applyNumberFormat="1" applyAlignment="1">
      <alignment horizontal="center" vertical="center"/>
    </xf>
    <xf numFmtId="0" fontId="9" fillId="0" borderId="0" xfId="0" applyFont="1" applyAlignment="1">
      <alignment horizontal="left" vertical="top" wrapText="1"/>
    </xf>
    <xf numFmtId="9" fontId="0" fillId="0" borderId="0" xfId="0" applyNumberFormat="1"/>
    <xf numFmtId="0" fontId="0" fillId="2" borderId="2" xfId="0" applyFill="1" applyBorder="1" applyAlignment="1">
      <alignment vertical="center"/>
    </xf>
    <xf numFmtId="0" fontId="0" fillId="0" borderId="4" xfId="0" applyBorder="1"/>
    <xf numFmtId="0" fontId="0" fillId="2" borderId="0" xfId="0" applyFill="1" applyAlignment="1">
      <alignment horizontal="center" vertical="center"/>
    </xf>
    <xf numFmtId="0" fontId="0" fillId="0" borderId="7" xfId="0" applyBorder="1"/>
    <xf numFmtId="0" fontId="10" fillId="2" borderId="0" xfId="0" applyFont="1" applyFill="1" applyAlignment="1">
      <alignment vertical="center"/>
    </xf>
    <xf numFmtId="0" fontId="15" fillId="2" borderId="0" xfId="0" applyFont="1" applyFill="1" applyAlignment="1">
      <alignment vertical="center"/>
    </xf>
    <xf numFmtId="0" fontId="17" fillId="2" borderId="0" xfId="0" applyFont="1" applyFill="1" applyAlignment="1">
      <alignment vertical="center"/>
    </xf>
    <xf numFmtId="0" fontId="17" fillId="0" borderId="0" xfId="0" applyFont="1"/>
    <xf numFmtId="0" fontId="20" fillId="2" borderId="0" xfId="0" applyFont="1" applyFill="1" applyAlignment="1">
      <alignment vertical="center"/>
    </xf>
    <xf numFmtId="0" fontId="17" fillId="2" borderId="0" xfId="0" applyFont="1" applyFill="1"/>
    <xf numFmtId="0" fontId="17" fillId="2" borderId="1" xfId="0" applyFont="1" applyFill="1" applyBorder="1"/>
    <xf numFmtId="0" fontId="17" fillId="2" borderId="2" xfId="0" applyFont="1" applyFill="1" applyBorder="1"/>
    <xf numFmtId="0" fontId="17" fillId="2" borderId="3" xfId="0" applyFont="1" applyFill="1" applyBorder="1"/>
    <xf numFmtId="0" fontId="17" fillId="2" borderId="4" xfId="0" applyFont="1" applyFill="1" applyBorder="1"/>
    <xf numFmtId="0" fontId="17" fillId="2" borderId="5" xfId="0" applyFont="1" applyFill="1" applyBorder="1"/>
    <xf numFmtId="49" fontId="21" fillId="2" borderId="0" xfId="0" applyNumberFormat="1" applyFont="1" applyFill="1" applyAlignment="1">
      <alignment vertical="center"/>
    </xf>
    <xf numFmtId="0" fontId="21" fillId="2" borderId="0" xfId="0" applyFont="1" applyFill="1" applyAlignment="1">
      <alignment vertical="center"/>
    </xf>
    <xf numFmtId="0" fontId="17" fillId="2" borderId="6" xfId="0" applyFont="1" applyFill="1" applyBorder="1"/>
    <xf numFmtId="0" fontId="17" fillId="2" borderId="7" xfId="0" applyFont="1" applyFill="1" applyBorder="1"/>
    <xf numFmtId="0" fontId="17" fillId="2" borderId="8" xfId="0" applyFont="1" applyFill="1" applyBorder="1"/>
    <xf numFmtId="0" fontId="17" fillId="2" borderId="0" xfId="0" applyFont="1" applyFill="1" applyAlignment="1">
      <alignment wrapText="1"/>
    </xf>
    <xf numFmtId="0" fontId="17" fillId="2" borderId="0" xfId="0" applyFont="1" applyFill="1" applyAlignment="1">
      <alignment horizontal="center" wrapText="1"/>
    </xf>
    <xf numFmtId="0" fontId="18" fillId="2" borderId="0" xfId="0" applyFont="1" applyFill="1"/>
    <xf numFmtId="0" fontId="17" fillId="2" borderId="7" xfId="0" applyFont="1" applyFill="1" applyBorder="1" applyAlignment="1">
      <alignment vertical="center"/>
    </xf>
    <xf numFmtId="2" fontId="17" fillId="2" borderId="0" xfId="0" applyNumberFormat="1" applyFont="1" applyFill="1"/>
    <xf numFmtId="2" fontId="17" fillId="2" borderId="7" xfId="0" applyNumberFormat="1" applyFont="1" applyFill="1" applyBorder="1"/>
    <xf numFmtId="9" fontId="16" fillId="2" borderId="0" xfId="0" applyNumberFormat="1" applyFont="1" applyFill="1"/>
    <xf numFmtId="9" fontId="16" fillId="2" borderId="0" xfId="1" applyFont="1" applyFill="1" applyBorder="1"/>
    <xf numFmtId="0" fontId="17" fillId="31" borderId="0" xfId="0" applyFont="1" applyFill="1"/>
    <xf numFmtId="2" fontId="17" fillId="31" borderId="5" xfId="0" applyNumberFormat="1" applyFont="1" applyFill="1" applyBorder="1" applyAlignment="1">
      <alignment horizontal="center"/>
    </xf>
    <xf numFmtId="164" fontId="17" fillId="31" borderId="5" xfId="0" applyNumberFormat="1" applyFont="1" applyFill="1" applyBorder="1" applyAlignment="1">
      <alignment horizontal="center"/>
    </xf>
    <xf numFmtId="2" fontId="17" fillId="31" borderId="0" xfId="0" applyNumberFormat="1" applyFont="1" applyFill="1"/>
    <xf numFmtId="2" fontId="17" fillId="31" borderId="5" xfId="0" applyNumberFormat="1" applyFont="1" applyFill="1" applyBorder="1" applyAlignment="1">
      <alignment horizontal="center" vertical="center"/>
    </xf>
    <xf numFmtId="0" fontId="21" fillId="0" borderId="0" xfId="0" applyFont="1" applyAlignment="1">
      <alignment vertical="center"/>
    </xf>
    <xf numFmtId="49" fontId="21" fillId="2" borderId="0" xfId="0" applyNumberFormat="1" applyFont="1" applyFill="1" applyAlignment="1">
      <alignment horizontal="right" vertical="center"/>
    </xf>
    <xf numFmtId="0" fontId="21" fillId="2" borderId="0" xfId="0" applyFont="1" applyFill="1" applyAlignment="1">
      <alignment vertical="center" wrapText="1"/>
    </xf>
    <xf numFmtId="0" fontId="19" fillId="0" borderId="0" xfId="0" applyFont="1" applyAlignment="1">
      <alignment vertical="center"/>
    </xf>
    <xf numFmtId="0" fontId="20" fillId="0" borderId="0" xfId="0" applyFont="1"/>
    <xf numFmtId="0" fontId="19" fillId="2" borderId="5" xfId="0" applyFont="1" applyFill="1" applyBorder="1" applyAlignment="1">
      <alignment vertical="center"/>
    </xf>
    <xf numFmtId="0" fontId="16" fillId="2" borderId="0" xfId="0" applyFont="1" applyFill="1" applyAlignment="1">
      <alignment horizontal="left" vertical="center"/>
    </xf>
    <xf numFmtId="0" fontId="13" fillId="0" borderId="0" xfId="0" applyFont="1" applyAlignment="1">
      <alignment wrapText="1"/>
    </xf>
    <xf numFmtId="0" fontId="2" fillId="0" borderId="0" xfId="0" applyFont="1"/>
    <xf numFmtId="0" fontId="16" fillId="0" borderId="0" xfId="0" applyFont="1"/>
    <xf numFmtId="0" fontId="17" fillId="0" borderId="0" xfId="0" applyFont="1" applyAlignment="1">
      <alignment horizontal="center" wrapText="1"/>
    </xf>
    <xf numFmtId="0" fontId="17" fillId="0" borderId="21" xfId="0" applyFont="1" applyBorder="1" applyAlignment="1">
      <alignment wrapText="1"/>
    </xf>
    <xf numFmtId="0" fontId="17" fillId="0" borderId="0" xfId="0" applyFont="1" applyAlignment="1">
      <alignment wrapText="1"/>
    </xf>
    <xf numFmtId="0" fontId="16" fillId="0" borderId="0" xfId="0" applyFont="1" applyAlignment="1">
      <alignment wrapText="1"/>
    </xf>
    <xf numFmtId="0" fontId="17" fillId="0" borderId="26" xfId="2" applyFont="1" applyBorder="1" applyAlignment="1">
      <alignment horizontal="left" vertical="center"/>
    </xf>
    <xf numFmtId="0" fontId="22" fillId="0" borderId="9" xfId="0" applyFont="1" applyBorder="1"/>
    <xf numFmtId="2" fontId="22" fillId="0" borderId="9" xfId="0" applyNumberFormat="1" applyFont="1" applyBorder="1" applyAlignment="1">
      <alignment horizontal="center"/>
    </xf>
    <xf numFmtId="165" fontId="22" fillId="0" borderId="9" xfId="0" applyNumberFormat="1" applyFont="1" applyBorder="1" applyAlignment="1">
      <alignment horizontal="center"/>
    </xf>
    <xf numFmtId="165" fontId="22" fillId="0" borderId="9" xfId="0" applyNumberFormat="1" applyFont="1" applyBorder="1" applyAlignment="1">
      <alignment horizontal="left"/>
    </xf>
    <xf numFmtId="2" fontId="22" fillId="0" borderId="9" xfId="0" applyNumberFormat="1" applyFont="1" applyBorder="1" applyAlignment="1">
      <alignment horizontal="left"/>
    </xf>
    <xf numFmtId="0" fontId="17" fillId="2" borderId="17" xfId="0" applyFont="1" applyFill="1" applyBorder="1"/>
    <xf numFmtId="2" fontId="17" fillId="2" borderId="21" xfId="0" applyNumberFormat="1" applyFont="1" applyFill="1" applyBorder="1"/>
    <xf numFmtId="0" fontId="22" fillId="0" borderId="0" xfId="0" applyFont="1"/>
    <xf numFmtId="0" fontId="17" fillId="0" borderId="9" xfId="2" applyFont="1" applyBorder="1" applyAlignment="1">
      <alignment horizontal="left" vertical="center"/>
    </xf>
    <xf numFmtId="0" fontId="17" fillId="0" borderId="9" xfId="0" applyFont="1" applyBorder="1" applyAlignment="1">
      <alignment horizontal="left" vertical="center"/>
    </xf>
    <xf numFmtId="2" fontId="17" fillId="0" borderId="9" xfId="0" applyNumberFormat="1" applyFont="1" applyBorder="1" applyAlignment="1">
      <alignment horizontal="center"/>
    </xf>
    <xf numFmtId="2" fontId="17" fillId="0" borderId="25" xfId="0" applyNumberFormat="1" applyFont="1" applyBorder="1" applyAlignment="1">
      <alignment horizontal="center"/>
    </xf>
    <xf numFmtId="0" fontId="17" fillId="0" borderId="25" xfId="0" applyFont="1" applyBorder="1" applyAlignment="1">
      <alignment horizontal="left"/>
    </xf>
    <xf numFmtId="2" fontId="17" fillId="0" borderId="0" xfId="0" applyNumberFormat="1" applyFont="1"/>
    <xf numFmtId="0" fontId="17" fillId="0" borderId="9" xfId="0" applyFont="1" applyBorder="1"/>
    <xf numFmtId="165" fontId="17" fillId="0" borderId="9" xfId="0" applyNumberFormat="1" applyFont="1" applyBorder="1" applyAlignment="1">
      <alignment horizontal="left"/>
    </xf>
    <xf numFmtId="2" fontId="17" fillId="2" borderId="21" xfId="0" applyNumberFormat="1" applyFont="1" applyFill="1" applyBorder="1" applyProtection="1">
      <protection locked="0"/>
    </xf>
    <xf numFmtId="0" fontId="16" fillId="0" borderId="20" xfId="0" applyFont="1" applyBorder="1"/>
    <xf numFmtId="0" fontId="16" fillId="0" borderId="28" xfId="0" applyFont="1" applyBorder="1"/>
    <xf numFmtId="0" fontId="16" fillId="0" borderId="18" xfId="0" applyFont="1" applyBorder="1"/>
    <xf numFmtId="0" fontId="17" fillId="0" borderId="12" xfId="0" applyFont="1" applyBorder="1"/>
    <xf numFmtId="0" fontId="17" fillId="0" borderId="10" xfId="0" applyFont="1" applyBorder="1"/>
    <xf numFmtId="0" fontId="17" fillId="0" borderId="15" xfId="0" applyFont="1" applyBorder="1"/>
    <xf numFmtId="2" fontId="17" fillId="7" borderId="9" xfId="0" applyNumberFormat="1" applyFont="1" applyFill="1" applyBorder="1" applyAlignment="1">
      <alignment horizontal="center"/>
    </xf>
    <xf numFmtId="2" fontId="17" fillId="7" borderId="9" xfId="0" applyNumberFormat="1" applyFont="1" applyFill="1" applyBorder="1" applyAlignment="1">
      <alignment horizontal="left"/>
    </xf>
    <xf numFmtId="165" fontId="17" fillId="0" borderId="25" xfId="0" applyNumberFormat="1" applyFont="1" applyBorder="1" applyAlignment="1">
      <alignment horizontal="left"/>
    </xf>
    <xf numFmtId="2" fontId="17" fillId="0" borderId="25" xfId="0" applyNumberFormat="1" applyFont="1" applyBorder="1" applyAlignment="1">
      <alignment horizontal="left"/>
    </xf>
    <xf numFmtId="165" fontId="17" fillId="0" borderId="0" xfId="0" applyNumberFormat="1" applyFont="1" applyAlignment="1">
      <alignment horizontal="center"/>
    </xf>
    <xf numFmtId="165" fontId="17" fillId="0" borderId="0" xfId="0" applyNumberFormat="1" applyFont="1" applyAlignment="1">
      <alignment horizontal="left"/>
    </xf>
    <xf numFmtId="0" fontId="17" fillId="0" borderId="0" xfId="0" applyFont="1" applyAlignment="1">
      <alignment horizontal="center"/>
    </xf>
    <xf numFmtId="0" fontId="16" fillId="2" borderId="7" xfId="0" applyFont="1" applyFill="1" applyBorder="1" applyAlignment="1">
      <alignment horizontal="left" vertical="center"/>
    </xf>
    <xf numFmtId="2" fontId="17" fillId="2" borderId="5" xfId="0" applyNumberFormat="1" applyFont="1" applyFill="1" applyBorder="1" applyAlignment="1">
      <alignment horizontal="center"/>
    </xf>
    <xf numFmtId="2" fontId="0" fillId="0" borderId="0" xfId="0" applyNumberFormat="1" applyAlignment="1">
      <alignment wrapText="1"/>
    </xf>
    <xf numFmtId="2" fontId="17" fillId="0" borderId="0" xfId="0" applyNumberFormat="1" applyFont="1" applyAlignment="1">
      <alignment vertical="center"/>
    </xf>
    <xf numFmtId="2" fontId="17" fillId="0" borderId="5" xfId="0" applyNumberFormat="1" applyFont="1" applyBorder="1"/>
    <xf numFmtId="2" fontId="17" fillId="0" borderId="8" xfId="0" applyNumberFormat="1" applyFont="1" applyBorder="1"/>
    <xf numFmtId="0" fontId="16" fillId="0" borderId="39" xfId="0" applyFont="1" applyBorder="1"/>
    <xf numFmtId="0" fontId="16" fillId="0" borderId="29" xfId="0" applyFont="1" applyBorder="1" applyAlignment="1">
      <alignment wrapText="1"/>
    </xf>
    <xf numFmtId="0" fontId="16" fillId="0" borderId="40" xfId="0" applyFont="1" applyBorder="1"/>
    <xf numFmtId="0" fontId="17" fillId="0" borderId="30" xfId="0" applyFont="1" applyBorder="1"/>
    <xf numFmtId="0" fontId="17" fillId="0" borderId="31" xfId="0" applyFont="1" applyBorder="1"/>
    <xf numFmtId="0" fontId="16" fillId="0" borderId="27" xfId="0" applyFont="1" applyBorder="1" applyAlignment="1">
      <alignment wrapText="1"/>
    </xf>
    <xf numFmtId="0" fontId="17" fillId="0" borderId="21" xfId="0" applyFont="1" applyBorder="1"/>
    <xf numFmtId="0" fontId="17" fillId="0" borderId="38" xfId="0" applyFont="1" applyBorder="1"/>
    <xf numFmtId="2" fontId="17" fillId="0" borderId="21" xfId="0" applyNumberFormat="1" applyFont="1" applyBorder="1"/>
    <xf numFmtId="2" fontId="17" fillId="0" borderId="38" xfId="0" applyNumberFormat="1" applyFont="1" applyBorder="1"/>
    <xf numFmtId="0" fontId="17" fillId="0" borderId="5" xfId="0" applyFont="1" applyBorder="1"/>
    <xf numFmtId="0" fontId="17" fillId="0" borderId="8" xfId="0" applyFont="1" applyBorder="1"/>
    <xf numFmtId="0" fontId="17" fillId="0" borderId="43" xfId="0" applyFont="1" applyBorder="1" applyAlignment="1">
      <alignment wrapText="1"/>
    </xf>
    <xf numFmtId="0" fontId="16" fillId="0" borderId="44" xfId="0" applyFont="1" applyBorder="1" applyAlignment="1">
      <alignment wrapText="1"/>
    </xf>
    <xf numFmtId="0" fontId="16" fillId="0" borderId="42" xfId="0" applyFont="1" applyBorder="1" applyAlignment="1">
      <alignment wrapText="1"/>
    </xf>
    <xf numFmtId="0" fontId="17" fillId="0" borderId="17" xfId="0" applyFont="1" applyBorder="1"/>
    <xf numFmtId="0" fontId="17" fillId="0" borderId="7" xfId="0" applyFont="1" applyBorder="1" applyAlignment="1">
      <alignment wrapText="1"/>
    </xf>
    <xf numFmtId="2" fontId="22" fillId="2" borderId="28" xfId="0" applyNumberFormat="1" applyFont="1" applyFill="1" applyBorder="1" applyAlignment="1">
      <alignment horizontal="left"/>
    </xf>
    <xf numFmtId="2" fontId="22" fillId="2" borderId="9" xfId="0" applyNumberFormat="1" applyFont="1" applyFill="1" applyBorder="1" applyAlignment="1">
      <alignment horizontal="left"/>
    </xf>
    <xf numFmtId="2" fontId="22" fillId="2" borderId="25" xfId="0" applyNumberFormat="1" applyFont="1" applyFill="1" applyBorder="1" applyAlignment="1">
      <alignment horizontal="left"/>
    </xf>
    <xf numFmtId="0" fontId="17" fillId="0" borderId="0" xfId="0" applyFont="1" applyAlignment="1">
      <alignment horizontal="left" vertical="center"/>
    </xf>
    <xf numFmtId="2" fontId="17" fillId="37" borderId="9" xfId="0" applyNumberFormat="1" applyFont="1" applyFill="1" applyBorder="1" applyAlignment="1">
      <alignment horizontal="center"/>
    </xf>
    <xf numFmtId="2" fontId="22" fillId="37" borderId="9" xfId="0" applyNumberFormat="1" applyFont="1" applyFill="1" applyBorder="1" applyAlignment="1">
      <alignment horizontal="center"/>
    </xf>
    <xf numFmtId="2" fontId="17" fillId="37" borderId="9" xfId="0" applyNumberFormat="1" applyFont="1" applyFill="1" applyBorder="1" applyAlignment="1">
      <alignment horizontal="left"/>
    </xf>
    <xf numFmtId="2" fontId="22" fillId="37" borderId="9" xfId="0" applyNumberFormat="1" applyFont="1" applyFill="1" applyBorder="1" applyAlignment="1">
      <alignment horizontal="left"/>
    </xf>
    <xf numFmtId="0" fontId="21" fillId="2" borderId="0" xfId="0" applyFont="1" applyFill="1" applyAlignment="1">
      <alignment horizontal="left" vertical="center"/>
    </xf>
    <xf numFmtId="0" fontId="21" fillId="2" borderId="0" xfId="0" applyFont="1" applyFill="1" applyAlignment="1">
      <alignment horizontal="left" vertical="center" wrapText="1"/>
    </xf>
    <xf numFmtId="0" fontId="21" fillId="2" borderId="0" xfId="0" applyFont="1" applyFill="1" applyAlignment="1">
      <alignment horizontal="center" vertical="center"/>
    </xf>
    <xf numFmtId="0" fontId="21" fillId="2" borderId="0" xfId="0" applyFont="1" applyFill="1" applyAlignment="1">
      <alignment horizontal="center" vertical="center" wrapText="1"/>
    </xf>
    <xf numFmtId="0" fontId="15" fillId="2" borderId="0" xfId="0" applyFont="1" applyFill="1" applyAlignment="1">
      <alignment horizontal="left" vertical="center"/>
    </xf>
    <xf numFmtId="165" fontId="22" fillId="0" borderId="25" xfId="0" applyNumberFormat="1" applyFont="1" applyBorder="1" applyAlignment="1">
      <alignment horizontal="center"/>
    </xf>
    <xf numFmtId="165" fontId="22" fillId="0" borderId="25" xfId="0" applyNumberFormat="1" applyFont="1" applyBorder="1" applyAlignment="1">
      <alignment horizontal="left"/>
    </xf>
    <xf numFmtId="0" fontId="17" fillId="0" borderId="25" xfId="0" applyFont="1" applyBorder="1" applyAlignment="1">
      <alignment horizontal="left" vertical="center"/>
    </xf>
    <xf numFmtId="0" fontId="17" fillId="0" borderId="25" xfId="0" applyFont="1" applyBorder="1"/>
    <xf numFmtId="2" fontId="22" fillId="2" borderId="21" xfId="0" applyNumberFormat="1" applyFont="1" applyFill="1" applyBorder="1" applyAlignment="1">
      <alignment horizontal="left"/>
    </xf>
    <xf numFmtId="2" fontId="17" fillId="2" borderId="9" xfId="0" applyNumberFormat="1" applyFont="1" applyFill="1" applyBorder="1"/>
    <xf numFmtId="0" fontId="17" fillId="0" borderId="26" xfId="0" applyFont="1" applyBorder="1"/>
    <xf numFmtId="2" fontId="17" fillId="2" borderId="48" xfId="0" applyNumberFormat="1" applyFont="1" applyFill="1" applyBorder="1"/>
    <xf numFmtId="0" fontId="17" fillId="0" borderId="45" xfId="0" applyFont="1" applyBorder="1"/>
    <xf numFmtId="0" fontId="17" fillId="0" borderId="46" xfId="0" applyFont="1" applyBorder="1"/>
    <xf numFmtId="0" fontId="17" fillId="0" borderId="49" xfId="0" applyFont="1" applyBorder="1"/>
    <xf numFmtId="2" fontId="17" fillId="2" borderId="28" xfId="0" applyNumberFormat="1" applyFont="1" applyFill="1" applyBorder="1"/>
    <xf numFmtId="2" fontId="17" fillId="2" borderId="50" xfId="0" applyNumberFormat="1" applyFont="1" applyFill="1" applyBorder="1"/>
    <xf numFmtId="0" fontId="13" fillId="2" borderId="53" xfId="0" applyFont="1" applyFill="1" applyBorder="1"/>
    <xf numFmtId="0" fontId="13" fillId="2" borderId="29" xfId="0" applyFont="1" applyFill="1" applyBorder="1"/>
    <xf numFmtId="0" fontId="13" fillId="2" borderId="35" xfId="0" applyFont="1" applyFill="1" applyBorder="1"/>
    <xf numFmtId="0" fontId="17" fillId="0" borderId="43" xfId="0" applyFont="1" applyBorder="1"/>
    <xf numFmtId="2" fontId="17" fillId="2" borderId="44" xfId="0" applyNumberFormat="1" applyFont="1" applyFill="1" applyBorder="1"/>
    <xf numFmtId="2" fontId="17" fillId="2" borderId="47" xfId="0" applyNumberFormat="1" applyFont="1" applyFill="1" applyBorder="1"/>
    <xf numFmtId="2" fontId="0" fillId="2" borderId="9" xfId="0" applyNumberFormat="1" applyFill="1" applyBorder="1"/>
    <xf numFmtId="2" fontId="0" fillId="2" borderId="44" xfId="0" applyNumberFormat="1" applyFill="1" applyBorder="1"/>
    <xf numFmtId="2" fontId="0" fillId="2" borderId="47" xfId="0" applyNumberFormat="1" applyFill="1" applyBorder="1"/>
    <xf numFmtId="2" fontId="0" fillId="2" borderId="48" xfId="0" applyNumberFormat="1" applyFill="1" applyBorder="1"/>
    <xf numFmtId="2" fontId="0" fillId="2" borderId="46" xfId="0" applyNumberFormat="1" applyFill="1" applyBorder="1"/>
    <xf numFmtId="2" fontId="0" fillId="2" borderId="49" xfId="0" applyNumberFormat="1" applyFill="1" applyBorder="1"/>
    <xf numFmtId="2" fontId="17" fillId="2" borderId="43" xfId="0" applyNumberFormat="1" applyFont="1" applyFill="1" applyBorder="1"/>
    <xf numFmtId="2" fontId="17" fillId="2" borderId="26" xfId="0" applyNumberFormat="1" applyFont="1" applyFill="1" applyBorder="1"/>
    <xf numFmtId="2" fontId="17" fillId="2" borderId="20" xfId="0" applyNumberFormat="1" applyFont="1" applyFill="1" applyBorder="1"/>
    <xf numFmtId="2" fontId="17" fillId="2" borderId="12" xfId="0" applyNumberFormat="1" applyFont="1" applyFill="1" applyBorder="1"/>
    <xf numFmtId="0" fontId="17" fillId="0" borderId="54" xfId="0" applyFont="1" applyBorder="1"/>
    <xf numFmtId="2" fontId="17" fillId="2" borderId="40" xfId="0" applyNumberFormat="1" applyFont="1" applyFill="1" applyBorder="1"/>
    <xf numFmtId="0" fontId="13" fillId="2" borderId="32" xfId="0" applyFont="1" applyFill="1" applyBorder="1"/>
    <xf numFmtId="0" fontId="17" fillId="0" borderId="55" xfId="0" applyFont="1" applyBorder="1"/>
    <xf numFmtId="0" fontId="17" fillId="0" borderId="56" xfId="0" applyFont="1" applyBorder="1"/>
    <xf numFmtId="0" fontId="17" fillId="0" borderId="57" xfId="0" applyFont="1" applyBorder="1"/>
    <xf numFmtId="0" fontId="13" fillId="2" borderId="1" xfId="0" applyFont="1" applyFill="1" applyBorder="1"/>
    <xf numFmtId="0" fontId="17" fillId="0" borderId="58" xfId="0" applyFont="1" applyBorder="1"/>
    <xf numFmtId="2" fontId="17" fillId="2" borderId="59" xfId="0" applyNumberFormat="1" applyFont="1" applyFill="1" applyBorder="1"/>
    <xf numFmtId="2" fontId="0" fillId="2" borderId="59" xfId="0" applyNumberFormat="1" applyFill="1" applyBorder="1"/>
    <xf numFmtId="2" fontId="0" fillId="2" borderId="12" xfId="0" applyNumberFormat="1" applyFill="1" applyBorder="1"/>
    <xf numFmtId="2" fontId="0" fillId="2" borderId="43" xfId="0" applyNumberFormat="1" applyFill="1" applyBorder="1"/>
    <xf numFmtId="2" fontId="0" fillId="2" borderId="26" xfId="0" applyNumberFormat="1" applyFill="1" applyBorder="1"/>
    <xf numFmtId="2" fontId="0" fillId="2" borderId="54" xfId="0" applyNumberFormat="1" applyFill="1" applyBorder="1"/>
    <xf numFmtId="0" fontId="17" fillId="0" borderId="7" xfId="0" applyFont="1" applyBorder="1"/>
    <xf numFmtId="0" fontId="21" fillId="34" borderId="0" xfId="0" applyFont="1" applyFill="1" applyAlignment="1">
      <alignment horizontal="left" vertical="center"/>
    </xf>
    <xf numFmtId="0" fontId="21" fillId="31" borderId="0" xfId="0" applyFont="1" applyFill="1" applyAlignment="1">
      <alignment horizontal="left" vertical="center"/>
    </xf>
    <xf numFmtId="0" fontId="15" fillId="2" borderId="9" xfId="0" applyFont="1" applyFill="1" applyBorder="1" applyAlignment="1">
      <alignment horizontal="left" vertical="center" wrapText="1"/>
    </xf>
    <xf numFmtId="0" fontId="21" fillId="33" borderId="9"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0" fontId="21" fillId="7" borderId="0" xfId="0" applyFont="1" applyFill="1" applyAlignment="1">
      <alignment horizontal="left" vertical="center" wrapText="1"/>
    </xf>
    <xf numFmtId="0" fontId="21" fillId="5" borderId="0" xfId="0" applyFont="1" applyFill="1" applyAlignment="1">
      <alignment horizontal="left" vertical="center" wrapText="1"/>
    </xf>
    <xf numFmtId="0" fontId="21" fillId="20" borderId="0" xfId="0" applyFont="1" applyFill="1" applyAlignment="1">
      <alignment horizontal="left" vertical="center" wrapText="1"/>
    </xf>
    <xf numFmtId="0" fontId="21" fillId="8" borderId="0" xfId="0" applyFont="1" applyFill="1" applyAlignment="1">
      <alignment horizontal="left" vertical="center" wrapText="1"/>
    </xf>
    <xf numFmtId="0" fontId="21" fillId="6" borderId="0" xfId="0" applyFont="1" applyFill="1" applyAlignment="1">
      <alignment horizontal="left" vertical="center" wrapText="1"/>
    </xf>
    <xf numFmtId="0" fontId="21" fillId="21" borderId="0" xfId="0" applyFont="1" applyFill="1" applyAlignment="1">
      <alignment horizontal="left" vertical="center" wrapText="1"/>
    </xf>
    <xf numFmtId="0" fontId="21" fillId="9" borderId="0" xfId="0" applyFont="1" applyFill="1" applyAlignment="1">
      <alignment horizontal="left" vertical="center" wrapText="1"/>
    </xf>
    <xf numFmtId="0" fontId="21" fillId="12" borderId="0" xfId="0" applyFont="1" applyFill="1" applyAlignment="1">
      <alignment horizontal="left" vertical="center" wrapText="1"/>
    </xf>
    <xf numFmtId="0" fontId="21" fillId="22" borderId="0" xfId="0" applyFont="1" applyFill="1" applyAlignment="1">
      <alignment horizontal="left" vertical="center" wrapText="1"/>
    </xf>
    <xf numFmtId="0" fontId="21" fillId="10" borderId="0" xfId="0" applyFont="1" applyFill="1" applyAlignment="1">
      <alignment horizontal="left" vertical="center" wrapText="1"/>
    </xf>
    <xf numFmtId="0" fontId="21" fillId="13" borderId="0" xfId="0" applyFont="1" applyFill="1" applyAlignment="1">
      <alignment horizontal="left" vertical="center" wrapText="1"/>
    </xf>
    <xf numFmtId="0" fontId="21" fillId="11" borderId="0" xfId="0" applyFont="1" applyFill="1" applyAlignment="1">
      <alignment horizontal="left" vertical="center" wrapText="1"/>
    </xf>
    <xf numFmtId="0" fontId="21" fillId="4" borderId="0" xfId="0" applyFont="1" applyFill="1" applyAlignment="1">
      <alignment vertical="center"/>
    </xf>
    <xf numFmtId="0" fontId="21" fillId="18" borderId="0" xfId="0" applyFont="1" applyFill="1" applyAlignment="1">
      <alignment horizontal="left" vertical="center" wrapText="1"/>
    </xf>
    <xf numFmtId="0" fontId="21" fillId="19" borderId="0" xfId="0" applyFont="1" applyFill="1" applyAlignment="1">
      <alignment horizontal="left" vertical="center" wrapText="1"/>
    </xf>
    <xf numFmtId="0" fontId="21" fillId="14" borderId="0" xfId="0" applyFont="1" applyFill="1" applyAlignment="1">
      <alignment horizontal="left" vertical="center" wrapText="1"/>
    </xf>
    <xf numFmtId="0" fontId="21" fillId="23" borderId="0" xfId="0" applyFont="1" applyFill="1" applyAlignment="1">
      <alignment horizontal="left" vertical="center" wrapText="1"/>
    </xf>
    <xf numFmtId="0" fontId="21" fillId="15" borderId="0" xfId="0" applyFont="1" applyFill="1" applyAlignment="1">
      <alignment horizontal="left" vertical="center" wrapText="1"/>
    </xf>
    <xf numFmtId="0" fontId="21" fillId="24" borderId="0" xfId="0" applyFont="1" applyFill="1" applyAlignment="1">
      <alignment horizontal="left" vertical="center" wrapText="1"/>
    </xf>
    <xf numFmtId="0" fontId="21" fillId="16" borderId="0" xfId="0" applyFont="1" applyFill="1" applyAlignment="1">
      <alignment horizontal="left" vertical="center" wrapText="1"/>
    </xf>
    <xf numFmtId="0" fontId="21" fillId="25" borderId="0" xfId="0" applyFont="1" applyFill="1" applyAlignment="1">
      <alignment horizontal="left" vertical="center" wrapText="1"/>
    </xf>
    <xf numFmtId="0" fontId="21" fillId="17" borderId="0" xfId="0" applyFont="1" applyFill="1" applyAlignment="1">
      <alignment horizontal="left" vertical="center" wrapText="1"/>
    </xf>
    <xf numFmtId="0" fontId="21" fillId="26" borderId="0" xfId="0" applyFont="1" applyFill="1" applyAlignment="1">
      <alignment horizontal="left" vertical="center" wrapText="1"/>
    </xf>
    <xf numFmtId="0" fontId="21" fillId="27" borderId="0" xfId="0" applyFont="1" applyFill="1" applyAlignment="1">
      <alignment horizontal="left" vertical="center" wrapText="1"/>
    </xf>
    <xf numFmtId="0" fontId="21" fillId="2" borderId="17" xfId="0" applyFont="1" applyFill="1" applyBorder="1" applyAlignment="1">
      <alignment horizontal="left" vertical="center" wrapText="1"/>
    </xf>
    <xf numFmtId="0" fontId="21" fillId="28" borderId="0" xfId="0" applyFont="1" applyFill="1" applyAlignment="1">
      <alignment horizontal="left" vertical="center" wrapText="1"/>
    </xf>
    <xf numFmtId="0" fontId="21" fillId="29" borderId="0" xfId="0" applyFont="1" applyFill="1" applyAlignment="1">
      <alignment horizontal="left" vertical="center" wrapText="1"/>
    </xf>
    <xf numFmtId="0" fontId="21" fillId="30" borderId="0" xfId="0" applyFont="1" applyFill="1" applyAlignment="1">
      <alignment horizontal="left" vertical="center" wrapText="1"/>
    </xf>
    <xf numFmtId="0" fontId="6" fillId="2" borderId="0" xfId="0" applyFont="1" applyFill="1"/>
    <xf numFmtId="0" fontId="21" fillId="2" borderId="0" xfId="0" applyFont="1" applyFill="1"/>
    <xf numFmtId="0" fontId="23" fillId="2" borderId="0" xfId="0" applyFont="1" applyFill="1" applyAlignment="1">
      <alignment horizontal="left" vertical="top" indent="2"/>
    </xf>
    <xf numFmtId="0" fontId="21" fillId="0" borderId="0" xfId="0" applyFont="1"/>
    <xf numFmtId="0" fontId="15" fillId="2" borderId="0" xfId="0" applyFont="1" applyFill="1"/>
    <xf numFmtId="0" fontId="21" fillId="2" borderId="0" xfId="0" applyFont="1" applyFill="1" applyAlignment="1">
      <alignment horizontal="center"/>
    </xf>
    <xf numFmtId="0" fontId="15" fillId="2" borderId="9" xfId="0" applyFont="1" applyFill="1" applyBorder="1" applyProtection="1">
      <protection locked="0"/>
    </xf>
    <xf numFmtId="0" fontId="21" fillId="2" borderId="4" xfId="0" applyFont="1" applyFill="1" applyBorder="1"/>
    <xf numFmtId="0" fontId="15" fillId="2" borderId="0" xfId="0" applyFont="1" applyFill="1" applyAlignment="1">
      <alignment horizontal="center" vertical="center" wrapText="1"/>
    </xf>
    <xf numFmtId="0" fontId="21" fillId="2" borderId="5" xfId="0" applyFont="1" applyFill="1" applyBorder="1"/>
    <xf numFmtId="0" fontId="27" fillId="2" borderId="0" xfId="0" applyFont="1" applyFill="1" applyAlignment="1">
      <alignment horizontal="left" vertical="top" wrapText="1"/>
    </xf>
    <xf numFmtId="0" fontId="27" fillId="2" borderId="0" xfId="0" applyFont="1" applyFill="1" applyAlignment="1">
      <alignment horizontal="left" vertical="center" wrapText="1"/>
    </xf>
    <xf numFmtId="0" fontId="21" fillId="34" borderId="0" xfId="0"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21" fillId="2" borderId="0" xfId="0" applyFont="1" applyFill="1" applyAlignment="1">
      <alignment horizontal="right" vertical="center"/>
    </xf>
    <xf numFmtId="0" fontId="21" fillId="0" borderId="0" xfId="0" applyFont="1" applyAlignment="1">
      <alignment horizontal="center" vertical="center"/>
    </xf>
    <xf numFmtId="0" fontId="29" fillId="2" borderId="0" xfId="0" applyFont="1" applyFill="1" applyAlignment="1">
      <alignment vertical="center"/>
    </xf>
    <xf numFmtId="0" fontId="21" fillId="31" borderId="0" xfId="0" applyFont="1" applyFill="1" applyAlignment="1">
      <alignment horizontal="center" vertical="center"/>
    </xf>
    <xf numFmtId="0" fontId="21" fillId="2" borderId="0" xfId="0" applyFont="1" applyFill="1" applyAlignment="1">
      <alignment horizontal="right" vertical="center" wrapText="1"/>
    </xf>
    <xf numFmtId="1" fontId="15" fillId="2" borderId="0" xfId="0" applyNumberFormat="1" applyFont="1" applyFill="1" applyAlignment="1">
      <alignment horizontal="center" vertical="center"/>
    </xf>
    <xf numFmtId="0" fontId="15" fillId="2" borderId="0" xfId="0" applyFont="1" applyFill="1" applyAlignment="1">
      <alignment horizontal="right" vertical="center"/>
    </xf>
    <xf numFmtId="0" fontId="21" fillId="2" borderId="19" xfId="0" applyFont="1" applyFill="1" applyBorder="1" applyAlignment="1">
      <alignment vertical="center"/>
    </xf>
    <xf numFmtId="0" fontId="15" fillId="2" borderId="19" xfId="0" applyFont="1" applyFill="1" applyBorder="1" applyAlignment="1">
      <alignment horizontal="left" vertical="center" wrapText="1"/>
    </xf>
    <xf numFmtId="1" fontId="15" fillId="2" borderId="19" xfId="0" applyNumberFormat="1" applyFont="1" applyFill="1" applyBorder="1" applyAlignment="1">
      <alignment horizontal="center" vertical="center"/>
    </xf>
    <xf numFmtId="0" fontId="15" fillId="2" borderId="19" xfId="0" applyFont="1" applyFill="1" applyBorder="1" applyAlignment="1">
      <alignment horizontal="right" vertical="center"/>
    </xf>
    <xf numFmtId="1" fontId="15" fillId="31" borderId="0" xfId="0" applyNumberFormat="1" applyFont="1" applyFill="1" applyAlignment="1" applyProtection="1">
      <alignment horizontal="center" vertical="center"/>
      <protection locked="0"/>
    </xf>
    <xf numFmtId="0" fontId="21" fillId="0" borderId="7" xfId="0" applyFont="1" applyBorder="1"/>
    <xf numFmtId="0" fontId="21" fillId="0" borderId="8" xfId="0" applyFont="1" applyBorder="1"/>
    <xf numFmtId="0" fontId="27" fillId="2" borderId="0" xfId="0" applyFont="1" applyFill="1" applyAlignment="1">
      <alignment vertical="center" wrapText="1"/>
    </xf>
    <xf numFmtId="0" fontId="27" fillId="2" borderId="0" xfId="0" applyFont="1" applyFill="1" applyAlignment="1">
      <alignment vertical="top" wrapText="1"/>
    </xf>
    <xf numFmtId="0" fontId="21" fillId="0" borderId="7" xfId="0" applyFont="1" applyBorder="1" applyAlignment="1">
      <alignment horizontal="center" vertical="center"/>
    </xf>
    <xf numFmtId="0" fontId="21" fillId="34" borderId="0" xfId="0" applyFont="1" applyFill="1" applyAlignment="1" applyProtection="1">
      <alignment horizontal="center" vertical="center" wrapText="1"/>
      <protection locked="0"/>
    </xf>
    <xf numFmtId="0" fontId="21" fillId="2" borderId="17" xfId="0" applyFont="1" applyFill="1" applyBorder="1" applyAlignment="1">
      <alignment vertical="center"/>
    </xf>
    <xf numFmtId="0" fontId="21" fillId="2" borderId="14" xfId="0" applyFont="1" applyFill="1" applyBorder="1" applyAlignment="1">
      <alignment vertical="center"/>
    </xf>
    <xf numFmtId="0" fontId="21" fillId="34" borderId="0" xfId="0" applyFont="1" applyFill="1" applyAlignment="1" applyProtection="1">
      <alignment vertical="center"/>
      <protection locked="0"/>
    </xf>
    <xf numFmtId="0" fontId="21" fillId="2" borderId="0" xfId="0" applyFont="1" applyFill="1" applyAlignment="1" applyProtection="1">
      <alignment vertical="center"/>
      <protection locked="0"/>
    </xf>
    <xf numFmtId="1" fontId="21" fillId="34" borderId="0" xfId="0" applyNumberFormat="1" applyFont="1" applyFill="1" applyAlignment="1" applyProtection="1">
      <alignment horizontal="center" vertical="center"/>
      <protection locked="0"/>
    </xf>
    <xf numFmtId="1" fontId="21" fillId="2" borderId="0" xfId="0" applyNumberFormat="1" applyFont="1" applyFill="1" applyAlignment="1" applyProtection="1">
      <alignment horizontal="center" vertical="center"/>
      <protection locked="0"/>
    </xf>
    <xf numFmtId="2" fontId="21" fillId="2" borderId="0" xfId="0" applyNumberFormat="1" applyFont="1" applyFill="1" applyAlignment="1">
      <alignment horizontal="center" vertical="center"/>
    </xf>
    <xf numFmtId="1" fontId="21" fillId="2" borderId="0" xfId="0" applyNumberFormat="1" applyFont="1" applyFill="1" applyAlignment="1">
      <alignment vertical="center"/>
    </xf>
    <xf numFmtId="2" fontId="21" fillId="35" borderId="0" xfId="0" applyNumberFormat="1" applyFont="1" applyFill="1" applyAlignment="1">
      <alignment horizontal="center" vertical="center"/>
    </xf>
    <xf numFmtId="2" fontId="21" fillId="35" borderId="0" xfId="0" applyNumberFormat="1" applyFont="1" applyFill="1" applyAlignment="1">
      <alignment horizontal="center" vertical="center" wrapText="1"/>
    </xf>
    <xf numFmtId="2" fontId="21" fillId="31" borderId="0" xfId="0" applyNumberFormat="1" applyFont="1" applyFill="1" applyAlignment="1">
      <alignment horizontal="center" vertical="center"/>
    </xf>
    <xf numFmtId="2" fontId="15" fillId="2" borderId="0" xfId="0" applyNumberFormat="1" applyFont="1" applyFill="1" applyAlignment="1">
      <alignment horizontal="center" vertical="center"/>
    </xf>
    <xf numFmtId="0" fontId="27" fillId="2" borderId="19" xfId="0" applyFont="1" applyFill="1" applyBorder="1" applyAlignment="1">
      <alignment horizontal="left" vertical="center" wrapText="1"/>
    </xf>
    <xf numFmtId="0" fontId="21" fillId="2" borderId="7" xfId="0" applyFont="1" applyFill="1" applyBorder="1"/>
    <xf numFmtId="0" fontId="21" fillId="2" borderId="14" xfId="0" applyFont="1" applyFill="1" applyBorder="1"/>
    <xf numFmtId="2" fontId="15" fillId="31" borderId="0" xfId="0" applyNumberFormat="1" applyFont="1" applyFill="1" applyAlignment="1">
      <alignment horizontal="center" vertical="center"/>
    </xf>
    <xf numFmtId="0" fontId="21" fillId="2" borderId="6" xfId="0" applyFont="1" applyFill="1" applyBorder="1"/>
    <xf numFmtId="0" fontId="21" fillId="2" borderId="8" xfId="0" applyFont="1" applyFill="1" applyBorder="1"/>
    <xf numFmtId="2" fontId="26" fillId="0" borderId="0" xfId="0" applyNumberFormat="1" applyFont="1" applyAlignment="1" applyProtection="1">
      <alignment horizontal="center" vertical="center"/>
      <protection locked="0"/>
    </xf>
    <xf numFmtId="2" fontId="21" fillId="2" borderId="0" xfId="0" applyNumberFormat="1" applyFont="1" applyFill="1" applyAlignment="1" applyProtection="1">
      <alignment horizontal="center" vertical="center"/>
      <protection locked="0"/>
    </xf>
    <xf numFmtId="0" fontId="21" fillId="2" borderId="0" xfId="0" applyFont="1" applyFill="1" applyAlignment="1">
      <alignment wrapText="1"/>
    </xf>
    <xf numFmtId="0" fontId="21" fillId="2" borderId="0" xfId="0" applyFont="1" applyFill="1" applyAlignment="1">
      <alignment horizontal="center" wrapText="1"/>
    </xf>
    <xf numFmtId="0" fontId="27" fillId="2" borderId="14" xfId="0" applyFont="1" applyFill="1" applyBorder="1" applyAlignment="1">
      <alignment horizontal="left" vertical="center" wrapText="1"/>
    </xf>
    <xf numFmtId="0" fontId="15" fillId="2" borderId="0" xfId="0" applyFont="1" applyFill="1" applyAlignment="1">
      <alignment horizontal="center" vertical="center"/>
    </xf>
    <xf numFmtId="166" fontId="21" fillId="34" borderId="0" xfId="0" applyNumberFormat="1" applyFont="1" applyFill="1" applyAlignment="1" applyProtection="1">
      <alignment horizontal="center" vertical="center"/>
      <protection locked="0"/>
    </xf>
    <xf numFmtId="2" fontId="21" fillId="35" borderId="0" xfId="0" applyNumberFormat="1" applyFont="1" applyFill="1" applyAlignment="1">
      <alignment vertical="center"/>
    </xf>
    <xf numFmtId="2" fontId="21" fillId="36" borderId="0" xfId="0" applyNumberFormat="1" applyFont="1" applyFill="1" applyAlignment="1">
      <alignment vertical="center"/>
    </xf>
    <xf numFmtId="2" fontId="21" fillId="35" borderId="0" xfId="0" applyNumberFormat="1" applyFont="1" applyFill="1"/>
    <xf numFmtId="0" fontId="21" fillId="36" borderId="0" xfId="0" applyFont="1" applyFill="1" applyAlignment="1">
      <alignment vertical="center"/>
    </xf>
    <xf numFmtId="2" fontId="21" fillId="35" borderId="0" xfId="0" applyNumberFormat="1" applyFont="1" applyFill="1" applyAlignment="1">
      <alignment wrapText="1"/>
    </xf>
    <xf numFmtId="2" fontId="6" fillId="36" borderId="0" xfId="0" applyNumberFormat="1" applyFont="1" applyFill="1"/>
    <xf numFmtId="2" fontId="21" fillId="36" borderId="0" xfId="0" applyNumberFormat="1" applyFont="1" applyFill="1"/>
    <xf numFmtId="166" fontId="15" fillId="31" borderId="0" xfId="0" applyNumberFormat="1" applyFont="1" applyFill="1" applyAlignment="1">
      <alignment horizontal="center" vertical="center"/>
    </xf>
    <xf numFmtId="2" fontId="15" fillId="35" borderId="0" xfId="0" applyNumberFormat="1" applyFont="1" applyFill="1" applyAlignment="1">
      <alignment vertical="center"/>
    </xf>
    <xf numFmtId="0" fontId="15" fillId="36" borderId="0" xfId="0" applyFont="1" applyFill="1" applyAlignment="1">
      <alignment vertical="center"/>
    </xf>
    <xf numFmtId="2" fontId="15" fillId="35" borderId="0" xfId="0" applyNumberFormat="1" applyFont="1" applyFill="1" applyAlignment="1">
      <alignment horizontal="center" vertical="center"/>
    </xf>
    <xf numFmtId="0" fontId="21" fillId="2" borderId="0" xfId="0" applyFont="1" applyFill="1" applyAlignment="1">
      <alignment horizontal="right"/>
    </xf>
    <xf numFmtId="2" fontId="15" fillId="31" borderId="0" xfId="0" applyNumberFormat="1" applyFont="1" applyFill="1" applyAlignment="1">
      <alignment horizontal="center" vertical="center" wrapText="1"/>
    </xf>
    <xf numFmtId="0" fontId="6" fillId="2" borderId="7" xfId="0" applyFont="1" applyFill="1" applyBorder="1"/>
    <xf numFmtId="0" fontId="6" fillId="2" borderId="5" xfId="0" applyFont="1" applyFill="1" applyBorder="1"/>
    <xf numFmtId="0" fontId="21" fillId="3" borderId="0" xfId="0" applyFont="1" applyFill="1" applyAlignment="1">
      <alignment horizontal="left" vertical="center"/>
    </xf>
    <xf numFmtId="0" fontId="21" fillId="3" borderId="0" xfId="0" applyFont="1" applyFill="1" applyAlignment="1">
      <alignment horizontal="right" vertical="center"/>
    </xf>
    <xf numFmtId="0" fontId="21" fillId="3" borderId="0" xfId="0" applyFont="1" applyFill="1" applyAlignment="1">
      <alignment horizontal="right" vertical="center" wrapText="1"/>
    </xf>
    <xf numFmtId="2" fontId="21" fillId="3" borderId="0" xfId="0" applyNumberFormat="1" applyFont="1" applyFill="1" applyAlignment="1">
      <alignment horizontal="right" vertical="center"/>
    </xf>
    <xf numFmtId="2" fontId="15" fillId="36" borderId="0" xfId="0" applyNumberFormat="1" applyFont="1" applyFill="1" applyAlignment="1">
      <alignment horizontal="center" vertical="center"/>
    </xf>
    <xf numFmtId="0" fontId="21" fillId="32" borderId="0" xfId="0" applyFont="1" applyFill="1" applyAlignment="1">
      <alignment horizontal="left" vertical="center"/>
    </xf>
    <xf numFmtId="0" fontId="21" fillId="32" borderId="0" xfId="0" applyFont="1" applyFill="1" applyAlignment="1">
      <alignment horizontal="right" vertical="center"/>
    </xf>
    <xf numFmtId="2" fontId="21" fillId="32" borderId="0" xfId="0" applyNumberFormat="1" applyFont="1" applyFill="1" applyAlignment="1">
      <alignment horizontal="right" vertical="center"/>
    </xf>
    <xf numFmtId="2" fontId="15" fillId="0" borderId="0" xfId="0" applyNumberFormat="1" applyFont="1" applyAlignment="1">
      <alignment horizontal="center" vertical="center"/>
    </xf>
    <xf numFmtId="0" fontId="27" fillId="2" borderId="0" xfId="0" applyFont="1" applyFill="1" applyAlignment="1">
      <alignment horizontal="left" vertical="center"/>
    </xf>
    <xf numFmtId="0" fontId="6" fillId="2" borderId="8" xfId="0" applyFont="1" applyFill="1" applyBorder="1"/>
    <xf numFmtId="0" fontId="21" fillId="2" borderId="2" xfId="0" applyFont="1" applyFill="1" applyBorder="1"/>
    <xf numFmtId="0" fontId="21" fillId="2" borderId="3" xfId="0" applyFont="1" applyFill="1" applyBorder="1"/>
    <xf numFmtId="0" fontId="21" fillId="0" borderId="6" xfId="0" applyFont="1" applyBorder="1"/>
    <xf numFmtId="0" fontId="21" fillId="2" borderId="22" xfId="0" applyFont="1" applyFill="1" applyBorder="1"/>
    <xf numFmtId="0" fontId="21" fillId="2" borderId="23" xfId="0" applyFont="1" applyFill="1" applyBorder="1" applyAlignment="1">
      <alignment vertical="center"/>
    </xf>
    <xf numFmtId="0" fontId="27" fillId="2" borderId="0" xfId="0" applyFont="1" applyFill="1" applyAlignment="1">
      <alignment horizontal="center" vertical="center" wrapText="1"/>
    </xf>
    <xf numFmtId="166" fontId="15" fillId="35" borderId="0" xfId="0" applyNumberFormat="1" applyFont="1" applyFill="1" applyAlignment="1">
      <alignment horizontal="center" vertical="center"/>
    </xf>
    <xf numFmtId="2" fontId="15" fillId="2" borderId="0" xfId="0" applyNumberFormat="1" applyFont="1" applyFill="1" applyAlignment="1">
      <alignment vertical="center"/>
    </xf>
    <xf numFmtId="0" fontId="21" fillId="2" borderId="19" xfId="0" applyFont="1" applyFill="1" applyBorder="1"/>
    <xf numFmtId="0" fontId="21" fillId="2" borderId="7" xfId="0" applyFont="1" applyFill="1" applyBorder="1" applyAlignment="1">
      <alignment vertical="center"/>
    </xf>
    <xf numFmtId="0" fontId="21" fillId="2" borderId="24" xfId="0" applyFont="1" applyFill="1" applyBorder="1" applyAlignment="1">
      <alignment vertical="center"/>
    </xf>
    <xf numFmtId="0" fontId="21" fillId="2" borderId="5" xfId="0" applyFont="1" applyFill="1" applyBorder="1" applyAlignment="1">
      <alignment vertical="center"/>
    </xf>
    <xf numFmtId="166" fontId="21" fillId="31" borderId="0" xfId="0" applyNumberFormat="1" applyFont="1" applyFill="1" applyAlignment="1">
      <alignment horizontal="center" vertical="center"/>
    </xf>
    <xf numFmtId="166" fontId="21" fillId="2" borderId="0" xfId="0" applyNumberFormat="1" applyFont="1" applyFill="1" applyAlignment="1">
      <alignment horizontal="center" vertical="center"/>
    </xf>
    <xf numFmtId="2" fontId="21" fillId="0" borderId="0" xfId="0" applyNumberFormat="1" applyFont="1" applyAlignment="1">
      <alignment vertical="center"/>
    </xf>
    <xf numFmtId="2" fontId="21" fillId="34" borderId="0" xfId="0" applyNumberFormat="1" applyFont="1" applyFill="1" applyAlignment="1" applyProtection="1">
      <alignment horizontal="center" vertical="center"/>
      <protection locked="0"/>
    </xf>
    <xf numFmtId="2" fontId="21" fillId="2" borderId="0" xfId="0" applyNumberFormat="1" applyFont="1" applyFill="1" applyAlignment="1">
      <alignment horizontal="right" vertical="center"/>
    </xf>
    <xf numFmtId="166" fontId="15" fillId="2" borderId="0" xfId="0" applyNumberFormat="1" applyFont="1" applyFill="1" applyAlignment="1">
      <alignment horizontal="center" vertical="center"/>
    </xf>
    <xf numFmtId="166" fontId="21" fillId="2" borderId="0" xfId="0" applyNumberFormat="1" applyFont="1" applyFill="1" applyAlignment="1" applyProtection="1">
      <alignment horizontal="center" vertical="center"/>
      <protection locked="0"/>
    </xf>
    <xf numFmtId="2" fontId="21" fillId="2" borderId="0" xfId="0" applyNumberFormat="1" applyFont="1" applyFill="1" applyAlignment="1">
      <alignment vertical="center"/>
    </xf>
    <xf numFmtId="0" fontId="21" fillId="0" borderId="8" xfId="0" applyFont="1" applyBorder="1" applyAlignment="1">
      <alignment vertical="center"/>
    </xf>
    <xf numFmtId="2" fontId="21" fillId="2" borderId="0" xfId="0" applyNumberFormat="1" applyFont="1" applyFill="1"/>
    <xf numFmtId="0" fontId="21" fillId="2" borderId="2" xfId="0" applyFont="1" applyFill="1" applyBorder="1" applyAlignment="1">
      <alignment vertical="center"/>
    </xf>
    <xf numFmtId="166" fontId="21" fillId="31" borderId="0" xfId="0" applyNumberFormat="1" applyFont="1" applyFill="1" applyAlignment="1">
      <alignment horizontal="center" vertical="center" wrapText="1"/>
    </xf>
    <xf numFmtId="0" fontId="27" fillId="2" borderId="7" xfId="0" applyFont="1" applyFill="1" applyBorder="1" applyAlignment="1">
      <alignment horizontal="left" vertical="center" wrapText="1"/>
    </xf>
    <xf numFmtId="1" fontId="21" fillId="31" borderId="0" xfId="0" applyNumberFormat="1" applyFont="1" applyFill="1" applyAlignment="1">
      <alignment vertical="center"/>
    </xf>
    <xf numFmtId="2" fontId="21" fillId="2" borderId="0" xfId="0" applyNumberFormat="1" applyFont="1" applyFill="1" applyAlignment="1">
      <alignment horizontal="center"/>
    </xf>
    <xf numFmtId="2" fontId="21" fillId="31" borderId="0" xfId="0" applyNumberFormat="1" applyFont="1" applyFill="1" applyAlignment="1">
      <alignment vertical="center"/>
    </xf>
    <xf numFmtId="2" fontId="21" fillId="2" borderId="0" xfId="0" applyNumberFormat="1" applyFont="1" applyFill="1" applyAlignment="1">
      <alignment horizontal="right"/>
    </xf>
    <xf numFmtId="165" fontId="15" fillId="31" borderId="0" xfId="0" applyNumberFormat="1" applyFont="1" applyFill="1" applyAlignment="1">
      <alignment vertical="center"/>
    </xf>
    <xf numFmtId="0" fontId="15" fillId="2" borderId="0" xfId="0" applyFont="1" applyFill="1" applyAlignment="1">
      <alignment horizontal="right"/>
    </xf>
    <xf numFmtId="2" fontId="17" fillId="0" borderId="0" xfId="0" applyNumberFormat="1" applyFont="1" applyAlignment="1">
      <alignment horizontal="center"/>
    </xf>
    <xf numFmtId="165" fontId="22" fillId="0" borderId="0" xfId="0" applyNumberFormat="1" applyFont="1" applyAlignment="1">
      <alignment horizontal="center"/>
    </xf>
    <xf numFmtId="2" fontId="22" fillId="0" borderId="0" xfId="0" applyNumberFormat="1" applyFont="1" applyAlignment="1">
      <alignment horizontal="left"/>
    </xf>
    <xf numFmtId="165" fontId="22" fillId="0" borderId="0" xfId="0" applyNumberFormat="1" applyFont="1" applyAlignment="1">
      <alignment horizontal="left"/>
    </xf>
    <xf numFmtId="0" fontId="17" fillId="38" borderId="0" xfId="0" applyFont="1" applyFill="1"/>
    <xf numFmtId="0" fontId="17" fillId="7" borderId="0" xfId="0" applyFont="1" applyFill="1"/>
    <xf numFmtId="165" fontId="17" fillId="0" borderId="0" xfId="0" applyNumberFormat="1" applyFont="1" applyAlignment="1">
      <alignment horizontal="center" wrapText="1"/>
    </xf>
    <xf numFmtId="0" fontId="15" fillId="2" borderId="0" xfId="0" applyFont="1" applyFill="1" applyAlignment="1" applyProtection="1">
      <alignment vertical="center"/>
      <protection locked="0"/>
    </xf>
    <xf numFmtId="0" fontId="23" fillId="33" borderId="9" xfId="4" applyFont="1" applyFill="1" applyBorder="1" applyAlignment="1" applyProtection="1">
      <alignment horizontal="left" vertical="center"/>
    </xf>
    <xf numFmtId="1" fontId="15" fillId="35" borderId="0" xfId="0" applyNumberFormat="1" applyFont="1" applyFill="1" applyAlignment="1" applyProtection="1">
      <alignment horizontal="center" vertical="center"/>
      <protection locked="0"/>
    </xf>
    <xf numFmtId="1" fontId="15" fillId="31" borderId="0" xfId="0" applyNumberFormat="1" applyFont="1" applyFill="1" applyAlignment="1">
      <alignment horizontal="center" vertical="center"/>
    </xf>
    <xf numFmtId="0" fontId="21" fillId="34" borderId="0" xfId="0" applyFont="1" applyFill="1" applyProtection="1">
      <protection locked="0"/>
    </xf>
    <xf numFmtId="2" fontId="22" fillId="7" borderId="9" xfId="0" applyNumberFormat="1" applyFont="1" applyFill="1" applyBorder="1" applyAlignment="1">
      <alignment horizontal="left"/>
    </xf>
    <xf numFmtId="2" fontId="21" fillId="0" borderId="0" xfId="0" applyNumberFormat="1" applyFont="1"/>
    <xf numFmtId="0" fontId="21" fillId="0" borderId="9" xfId="0" applyFont="1" applyBorder="1" applyAlignment="1">
      <alignment horizontal="left" vertical="center" wrapText="1"/>
    </xf>
    <xf numFmtId="0" fontId="21" fillId="0" borderId="0" xfId="0" applyFont="1" applyAlignment="1" applyProtection="1">
      <alignment horizontal="center" vertical="center"/>
      <protection locked="0"/>
    </xf>
    <xf numFmtId="2" fontId="21" fillId="39" borderId="0" xfId="0" applyNumberFormat="1" applyFont="1" applyFill="1" applyAlignment="1">
      <alignment horizontal="center" vertical="center"/>
    </xf>
    <xf numFmtId="2" fontId="15" fillId="39" borderId="0" xfId="0" applyNumberFormat="1" applyFont="1" applyFill="1" applyAlignment="1">
      <alignment horizontal="center" vertical="center"/>
    </xf>
    <xf numFmtId="0" fontId="21" fillId="39" borderId="0" xfId="0" applyFont="1" applyFill="1" applyAlignment="1">
      <alignment horizontal="center" vertical="center"/>
    </xf>
    <xf numFmtId="0" fontId="21" fillId="39" borderId="0" xfId="0" applyFont="1" applyFill="1" applyAlignment="1">
      <alignment horizontal="left" vertical="center"/>
    </xf>
    <xf numFmtId="2" fontId="14" fillId="0" borderId="0" xfId="4" applyNumberFormat="1" applyFill="1" applyBorder="1"/>
    <xf numFmtId="0" fontId="21" fillId="2" borderId="0" xfId="0" applyFont="1" applyFill="1" applyAlignment="1">
      <alignment horizontal="left" vertical="center" wrapText="1"/>
    </xf>
    <xf numFmtId="0" fontId="21" fillId="2" borderId="10" xfId="0" applyFont="1" applyFill="1" applyBorder="1" applyAlignment="1">
      <alignment vertical="center" wrapText="1"/>
    </xf>
    <xf numFmtId="0" fontId="21" fillId="2" borderId="11" xfId="0" applyFont="1" applyFill="1" applyBorder="1" applyAlignment="1">
      <alignment vertical="center" wrapText="1"/>
    </xf>
    <xf numFmtId="0" fontId="21" fillId="2" borderId="12" xfId="0" applyFont="1" applyFill="1" applyBorder="1" applyAlignment="1">
      <alignment vertical="center" wrapText="1"/>
    </xf>
    <xf numFmtId="0" fontId="21" fillId="33" borderId="10" xfId="0" applyFont="1" applyFill="1" applyBorder="1" applyAlignment="1">
      <alignment vertical="center" wrapText="1"/>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3" fillId="33" borderId="9" xfId="4" applyFont="1" applyFill="1" applyBorder="1" applyAlignment="1" applyProtection="1">
      <alignment vertical="center"/>
    </xf>
    <xf numFmtId="0" fontId="21" fillId="2" borderId="9" xfId="0" applyFont="1" applyFill="1" applyBorder="1" applyAlignment="1">
      <alignment horizontal="left" vertical="center" wrapText="1"/>
    </xf>
    <xf numFmtId="0" fontId="15" fillId="2" borderId="9" xfId="0" applyFont="1" applyFill="1" applyBorder="1" applyAlignment="1">
      <alignment horizontal="center" vertical="center"/>
    </xf>
    <xf numFmtId="0" fontId="21" fillId="2" borderId="0" xfId="0" applyFont="1" applyFill="1" applyAlignment="1">
      <alignment horizontal="center" vertical="center" wrapText="1"/>
    </xf>
    <xf numFmtId="0" fontId="21" fillId="0" borderId="9" xfId="0" applyFont="1" applyBorder="1" applyAlignment="1">
      <alignment horizontal="left" vertical="center"/>
    </xf>
    <xf numFmtId="0" fontId="21" fillId="0" borderId="9" xfId="0" applyFont="1" applyBorder="1" applyAlignment="1">
      <alignment horizontal="left" vertical="center" wrapText="1"/>
    </xf>
    <xf numFmtId="0" fontId="21" fillId="2" borderId="9" xfId="0" applyFont="1" applyFill="1" applyBorder="1" applyAlignment="1">
      <alignment horizontal="left" vertical="center"/>
    </xf>
    <xf numFmtId="0" fontId="21" fillId="2" borderId="0" xfId="0" applyFont="1" applyFill="1" applyAlignment="1">
      <alignment horizontal="left" vertical="center"/>
    </xf>
    <xf numFmtId="0" fontId="15" fillId="2" borderId="9" xfId="0" applyFont="1" applyFill="1" applyBorder="1" applyAlignment="1">
      <alignment horizontal="left" vertical="center" wrapText="1"/>
    </xf>
    <xf numFmtId="0" fontId="15" fillId="2" borderId="0" xfId="0" applyFont="1" applyFill="1" applyAlignment="1" applyProtection="1">
      <alignment horizontal="left" vertical="center"/>
      <protection locked="0"/>
    </xf>
    <xf numFmtId="0" fontId="21" fillId="2" borderId="10" xfId="0" applyFont="1" applyFill="1" applyBorder="1" applyAlignment="1">
      <alignment horizontal="left" vertical="center"/>
    </xf>
    <xf numFmtId="0" fontId="21" fillId="2" borderId="11" xfId="0" applyFont="1" applyFill="1" applyBorder="1" applyAlignment="1">
      <alignment horizontal="left" vertical="center"/>
    </xf>
    <xf numFmtId="0" fontId="21" fillId="2" borderId="12" xfId="0" applyFont="1" applyFill="1" applyBorder="1" applyAlignment="1">
      <alignment horizontal="left" vertical="center"/>
    </xf>
    <xf numFmtId="0" fontId="21" fillId="0" borderId="10" xfId="0" applyFont="1" applyBorder="1" applyAlignment="1">
      <alignment horizontal="left" vertical="center"/>
    </xf>
    <xf numFmtId="0" fontId="21" fillId="0" borderId="11" xfId="0" applyFont="1" applyBorder="1" applyAlignment="1">
      <alignment horizontal="left" vertical="center"/>
    </xf>
    <xf numFmtId="0" fontId="21" fillId="0" borderId="12" xfId="0" applyFont="1" applyBorder="1" applyAlignment="1">
      <alignment horizontal="left" vertical="center"/>
    </xf>
    <xf numFmtId="0" fontId="21" fillId="0" borderId="0" xfId="0" applyFont="1" applyAlignment="1">
      <alignment horizontal="left" vertical="top" wrapText="1"/>
    </xf>
    <xf numFmtId="0" fontId="21" fillId="2" borderId="9" xfId="0" applyFont="1" applyFill="1" applyBorder="1" applyAlignment="1">
      <alignment vertical="center" wrapText="1"/>
    </xf>
    <xf numFmtId="0" fontId="21" fillId="33" borderId="9" xfId="0" applyFont="1" applyFill="1" applyBorder="1" applyAlignment="1">
      <alignment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23" fillId="2" borderId="0" xfId="4" applyFont="1" applyFill="1" applyBorder="1" applyAlignment="1" applyProtection="1">
      <alignment horizontal="left" vertical="center" wrapText="1"/>
      <protection locked="0"/>
    </xf>
    <xf numFmtId="0" fontId="15" fillId="2" borderId="0" xfId="0" applyFont="1" applyFill="1" applyAlignment="1">
      <alignment horizontal="left" vertical="center"/>
    </xf>
    <xf numFmtId="0" fontId="21"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15" fillId="2" borderId="0" xfId="0" applyFont="1" applyFill="1" applyAlignment="1" applyProtection="1">
      <alignment horizontal="left"/>
      <protection locked="0"/>
    </xf>
    <xf numFmtId="0" fontId="21" fillId="2" borderId="0" xfId="0" applyFont="1" applyFill="1" applyAlignment="1">
      <alignment vertical="center" wrapText="1"/>
    </xf>
    <xf numFmtId="0" fontId="21" fillId="2" borderId="17" xfId="0" applyFont="1" applyFill="1" applyBorder="1" applyAlignment="1">
      <alignment vertical="center" wrapText="1"/>
    </xf>
    <xf numFmtId="0" fontId="21" fillId="2" borderId="17" xfId="0" applyFont="1" applyFill="1" applyBorder="1" applyAlignment="1">
      <alignment horizontal="left" vertical="center" wrapText="1"/>
    </xf>
    <xf numFmtId="0" fontId="21" fillId="2" borderId="0" xfId="0" applyFont="1" applyFill="1" applyAlignment="1">
      <alignment vertical="center"/>
    </xf>
    <xf numFmtId="0" fontId="21" fillId="2" borderId="17" xfId="0" applyFont="1" applyFill="1" applyBorder="1" applyAlignment="1">
      <alignment vertical="center"/>
    </xf>
    <xf numFmtId="0" fontId="21" fillId="2" borderId="14" xfId="0" applyFont="1" applyFill="1" applyBorder="1" applyAlignment="1">
      <alignment horizontal="left" vertical="center" wrapText="1"/>
    </xf>
    <xf numFmtId="0" fontId="21" fillId="2" borderId="15" xfId="0" applyFont="1" applyFill="1" applyBorder="1" applyAlignment="1">
      <alignment horizontal="left" vertical="center" wrapText="1"/>
    </xf>
    <xf numFmtId="0" fontId="23" fillId="2" borderId="0" xfId="4" applyFont="1" applyFill="1" applyBorder="1" applyAlignment="1" applyProtection="1">
      <alignment horizontal="left" vertical="center"/>
    </xf>
    <xf numFmtId="0" fontId="15" fillId="2" borderId="0" xfId="0" applyFont="1" applyFill="1" applyAlignment="1" applyProtection="1">
      <alignment horizontal="left" vertical="center" wrapText="1"/>
      <protection locked="0"/>
    </xf>
    <xf numFmtId="0" fontId="25" fillId="2" borderId="0" xfId="4" applyFont="1" applyFill="1" applyBorder="1" applyAlignment="1" applyProtection="1">
      <alignment horizontal="left" vertical="center" wrapText="1"/>
      <protection locked="0"/>
    </xf>
    <xf numFmtId="0" fontId="26" fillId="2" borderId="0" xfId="4" applyFont="1" applyFill="1" applyBorder="1" applyAlignment="1" applyProtection="1">
      <alignment horizontal="left" vertical="center" wrapText="1"/>
    </xf>
    <xf numFmtId="0" fontId="23" fillId="2" borderId="0" xfId="0" applyFont="1" applyFill="1" applyAlignment="1">
      <alignment vertical="top"/>
    </xf>
    <xf numFmtId="0" fontId="25" fillId="2" borderId="0" xfId="4" applyFont="1" applyFill="1" applyBorder="1" applyAlignment="1" applyProtection="1">
      <alignment horizontal="left" vertical="top"/>
      <protection locked="0"/>
    </xf>
    <xf numFmtId="0" fontId="23" fillId="2" borderId="0" xfId="0" applyFont="1" applyFill="1" applyAlignment="1">
      <alignment horizontal="left" vertical="top" wrapText="1"/>
    </xf>
    <xf numFmtId="0" fontId="23" fillId="2" borderId="0" xfId="0" applyFont="1" applyFill="1" applyAlignment="1">
      <alignment vertical="top" wrapText="1"/>
    </xf>
    <xf numFmtId="0" fontId="23" fillId="2" borderId="0" xfId="0" applyFont="1" applyFill="1" applyAlignment="1">
      <alignment horizontal="left" vertical="top"/>
    </xf>
    <xf numFmtId="0" fontId="24" fillId="2" borderId="0" xfId="0" applyFont="1" applyFill="1" applyAlignment="1" applyProtection="1">
      <alignment vertical="top" wrapText="1"/>
      <protection locked="0"/>
    </xf>
    <xf numFmtId="0" fontId="15" fillId="2" borderId="20" xfId="0" applyFont="1" applyFill="1" applyBorder="1" applyAlignment="1">
      <alignment horizontal="center" vertical="center" wrapText="1"/>
    </xf>
    <xf numFmtId="0" fontId="21" fillId="0" borderId="10" xfId="0" applyFont="1" applyBorder="1" applyAlignment="1">
      <alignment horizontal="left"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2" borderId="10" xfId="0" applyFont="1" applyFill="1" applyBorder="1" applyAlignment="1" applyProtection="1">
      <alignment horizontal="left"/>
      <protection locked="0"/>
    </xf>
    <xf numFmtId="0" fontId="21" fillId="2" borderId="11" xfId="0" applyFont="1" applyFill="1" applyBorder="1" applyAlignment="1" applyProtection="1">
      <alignment horizontal="left"/>
      <protection locked="0"/>
    </xf>
    <xf numFmtId="0" fontId="21" fillId="2" borderId="12" xfId="0" applyFont="1" applyFill="1" applyBorder="1" applyAlignment="1" applyProtection="1">
      <alignment horizontal="left"/>
      <protection locked="0"/>
    </xf>
    <xf numFmtId="0" fontId="21" fillId="2" borderId="13" xfId="0" applyFont="1" applyFill="1" applyBorder="1" applyAlignment="1" applyProtection="1">
      <alignment horizontal="left" vertical="top"/>
      <protection locked="0"/>
    </xf>
    <xf numFmtId="0" fontId="21" fillId="2" borderId="14" xfId="0" applyFont="1" applyFill="1" applyBorder="1" applyAlignment="1" applyProtection="1">
      <alignment horizontal="left" vertical="top"/>
      <protection locked="0"/>
    </xf>
    <xf numFmtId="0" fontId="21" fillId="2" borderId="15" xfId="0" applyFont="1" applyFill="1" applyBorder="1" applyAlignment="1" applyProtection="1">
      <alignment horizontal="left" vertical="top"/>
      <protection locked="0"/>
    </xf>
    <xf numFmtId="0" fontId="21" fillId="2" borderId="16" xfId="0" applyFont="1" applyFill="1" applyBorder="1" applyAlignment="1" applyProtection="1">
      <alignment horizontal="left" vertical="top"/>
      <protection locked="0"/>
    </xf>
    <xf numFmtId="0" fontId="21" fillId="2" borderId="0" xfId="0" applyFont="1" applyFill="1" applyAlignment="1" applyProtection="1">
      <alignment horizontal="left" vertical="top"/>
      <protection locked="0"/>
    </xf>
    <xf numFmtId="0" fontId="21" fillId="2" borderId="17" xfId="0" applyFont="1" applyFill="1" applyBorder="1" applyAlignment="1" applyProtection="1">
      <alignment horizontal="left" vertical="top"/>
      <protection locked="0"/>
    </xf>
    <xf numFmtId="0" fontId="21" fillId="2" borderId="18" xfId="0" applyFont="1" applyFill="1" applyBorder="1" applyAlignment="1" applyProtection="1">
      <alignment horizontal="left" vertical="top"/>
      <protection locked="0"/>
    </xf>
    <xf numFmtId="0" fontId="21" fillId="2" borderId="19" xfId="0" applyFont="1" applyFill="1" applyBorder="1" applyAlignment="1" applyProtection="1">
      <alignment horizontal="left" vertical="top"/>
      <protection locked="0"/>
    </xf>
    <xf numFmtId="0" fontId="21" fillId="2" borderId="20" xfId="0" applyFont="1" applyFill="1" applyBorder="1" applyAlignment="1" applyProtection="1">
      <alignment horizontal="left" vertical="top"/>
      <protection locked="0"/>
    </xf>
    <xf numFmtId="0" fontId="15" fillId="2" borderId="10" xfId="0" applyFont="1" applyFill="1" applyBorder="1" applyAlignment="1">
      <alignment horizontal="left" vertical="center"/>
    </xf>
    <xf numFmtId="0" fontId="15" fillId="2" borderId="12" xfId="0" applyFont="1" applyFill="1" applyBorder="1" applyAlignment="1">
      <alignment horizontal="left" vertical="center"/>
    </xf>
    <xf numFmtId="0" fontId="15" fillId="2" borderId="10" xfId="0" applyFont="1" applyFill="1" applyBorder="1" applyAlignment="1" applyProtection="1">
      <alignment horizontal="left"/>
      <protection locked="0"/>
    </xf>
    <xf numFmtId="0" fontId="15" fillId="2" borderId="11"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21" fillId="2" borderId="10" xfId="0" applyFont="1" applyFill="1" applyBorder="1" applyAlignment="1" applyProtection="1">
      <alignment horizontal="left" wrapText="1"/>
      <protection locked="0"/>
    </xf>
    <xf numFmtId="0" fontId="21" fillId="2" borderId="11" xfId="0" applyFont="1" applyFill="1" applyBorder="1" applyAlignment="1" applyProtection="1">
      <alignment horizontal="left" wrapText="1"/>
      <protection locked="0"/>
    </xf>
    <xf numFmtId="0" fontId="21" fillId="2" borderId="12" xfId="0" applyFont="1" applyFill="1" applyBorder="1" applyAlignment="1" applyProtection="1">
      <alignment horizontal="left" wrapText="1"/>
      <protection locked="0"/>
    </xf>
    <xf numFmtId="0" fontId="27" fillId="2" borderId="0" xfId="0" applyFont="1" applyFill="1" applyAlignment="1">
      <alignment horizontal="left" vertical="center" wrapText="1"/>
    </xf>
    <xf numFmtId="0" fontId="15" fillId="2" borderId="0" xfId="0" applyFont="1" applyFill="1" applyAlignment="1">
      <alignment horizontal="left" vertical="center" wrapText="1"/>
    </xf>
    <xf numFmtId="0" fontId="21" fillId="0" borderId="0" xfId="0" applyFont="1" applyAlignment="1">
      <alignment horizontal="left" vertical="center"/>
    </xf>
    <xf numFmtId="0" fontId="21" fillId="2" borderId="0" xfId="0" applyFont="1" applyFill="1" applyAlignment="1">
      <alignment horizontal="right" vertical="center" wrapText="1"/>
    </xf>
    <xf numFmtId="0" fontId="21" fillId="2" borderId="0" xfId="0" applyFont="1" applyFill="1" applyAlignment="1">
      <alignment horizontal="center" vertical="center"/>
    </xf>
    <xf numFmtId="0" fontId="15" fillId="2" borderId="0" xfId="0" applyFont="1" applyFill="1" applyAlignment="1">
      <alignment horizontal="center" vertical="center" wrapText="1"/>
    </xf>
    <xf numFmtId="0" fontId="27" fillId="2" borderId="19" xfId="0" applyFont="1" applyFill="1" applyBorder="1" applyAlignment="1">
      <alignment horizontal="left" vertical="center" wrapText="1"/>
    </xf>
    <xf numFmtId="0" fontId="15" fillId="2" borderId="0" xfId="0" applyFont="1" applyFill="1" applyAlignment="1">
      <alignment horizontal="left"/>
    </xf>
    <xf numFmtId="0" fontId="9" fillId="0" borderId="0" xfId="0" applyFont="1" applyAlignment="1">
      <alignment horizontal="left" vertical="top" wrapText="1"/>
    </xf>
    <xf numFmtId="0" fontId="21" fillId="2" borderId="0" xfId="0" applyFont="1" applyFill="1" applyAlignment="1">
      <alignment horizontal="left"/>
    </xf>
    <xf numFmtId="0" fontId="15" fillId="2" borderId="0" xfId="0" applyFont="1" applyFill="1" applyAlignment="1">
      <alignment horizontal="right" vertical="center"/>
    </xf>
    <xf numFmtId="49" fontId="30" fillId="2" borderId="0" xfId="4" applyNumberFormat="1" applyFont="1" applyFill="1" applyBorder="1" applyAlignment="1" applyProtection="1">
      <alignment horizontal="left" vertical="center" wrapText="1"/>
      <protection locked="0"/>
    </xf>
    <xf numFmtId="0" fontId="30" fillId="0" borderId="0" xfId="4" applyFont="1" applyAlignment="1" applyProtection="1">
      <alignment horizontal="left"/>
      <protection locked="0"/>
    </xf>
    <xf numFmtId="0" fontId="2" fillId="0" borderId="0" xfId="0" applyFont="1" applyAlignment="1">
      <alignment horizontal="center"/>
    </xf>
    <xf numFmtId="0" fontId="13" fillId="0" borderId="0" xfId="0" applyFont="1" applyAlignment="1">
      <alignment horizontal="center" wrapText="1"/>
    </xf>
    <xf numFmtId="0" fontId="27" fillId="2" borderId="0" xfId="0" applyFont="1" applyFill="1" applyAlignment="1">
      <alignment horizontal="left" wrapText="1"/>
    </xf>
    <xf numFmtId="0" fontId="15" fillId="3" borderId="0" xfId="0" applyFont="1" applyFill="1" applyAlignment="1">
      <alignment horizontal="left" vertical="center" wrapText="1"/>
    </xf>
    <xf numFmtId="0" fontId="15" fillId="2" borderId="0" xfId="0" applyFont="1" applyFill="1" applyAlignment="1">
      <alignment horizontal="center" vertical="center"/>
    </xf>
    <xf numFmtId="0" fontId="15" fillId="2" borderId="0" xfId="0" applyFont="1" applyFill="1" applyAlignment="1">
      <alignment horizontal="center"/>
    </xf>
    <xf numFmtId="0" fontId="27" fillId="2" borderId="0" xfId="0" applyFont="1" applyFill="1" applyAlignment="1">
      <alignment horizontal="left" vertical="top" wrapText="1"/>
    </xf>
    <xf numFmtId="0" fontId="27" fillId="2" borderId="7" xfId="0" applyFont="1" applyFill="1" applyBorder="1" applyAlignment="1">
      <alignment horizontal="left" vertical="center" wrapText="1"/>
    </xf>
    <xf numFmtId="0" fontId="27" fillId="2" borderId="0" xfId="0" applyFont="1" applyFill="1" applyAlignment="1">
      <alignment horizontal="center" vertical="center" wrapText="1"/>
    </xf>
    <xf numFmtId="0" fontId="21" fillId="34" borderId="0" xfId="0" applyFont="1" applyFill="1" applyAlignment="1" applyProtection="1">
      <alignment horizontal="center" vertical="center"/>
      <protection locked="0"/>
    </xf>
    <xf numFmtId="49" fontId="26" fillId="2" borderId="0" xfId="4" applyNumberFormat="1" applyFont="1" applyFill="1" applyBorder="1" applyAlignment="1" applyProtection="1">
      <alignment horizontal="left" vertical="center" wrapText="1"/>
    </xf>
    <xf numFmtId="49" fontId="26" fillId="2" borderId="23" xfId="4" applyNumberFormat="1" applyFont="1" applyFill="1" applyBorder="1" applyAlignment="1" applyProtection="1">
      <alignment horizontal="left" vertical="center" wrapText="1"/>
    </xf>
    <xf numFmtId="0" fontId="15" fillId="0" borderId="0" xfId="0" applyFont="1" applyAlignment="1">
      <alignment horizontal="center" vertical="center"/>
    </xf>
    <xf numFmtId="0" fontId="15" fillId="2" borderId="0" xfId="0" quotePrefix="1" applyFont="1" applyFill="1" applyAlignment="1">
      <alignment horizontal="center" vertical="center"/>
    </xf>
    <xf numFmtId="0" fontId="21" fillId="0" borderId="0" xfId="0" applyFont="1" applyAlignment="1" applyProtection="1">
      <alignment horizontal="left" wrapText="1"/>
      <protection locked="0"/>
    </xf>
    <xf numFmtId="0" fontId="1" fillId="2" borderId="32" xfId="0" applyFont="1" applyFill="1" applyBorder="1" applyAlignment="1">
      <alignment horizontal="center"/>
    </xf>
    <xf numFmtId="0" fontId="1" fillId="2" borderId="36" xfId="0" applyFont="1" applyFill="1" applyBorder="1" applyAlignment="1">
      <alignment horizontal="center"/>
    </xf>
    <xf numFmtId="0" fontId="1" fillId="2" borderId="33"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3" fillId="2" borderId="1" xfId="0" applyFont="1" applyFill="1" applyBorder="1" applyAlignment="1">
      <alignment horizontal="center" wrapText="1"/>
    </xf>
    <xf numFmtId="0" fontId="13" fillId="2" borderId="35" xfId="0" applyFont="1" applyFill="1" applyBorder="1" applyAlignment="1">
      <alignment horizontal="center" wrapText="1"/>
    </xf>
    <xf numFmtId="0" fontId="13" fillId="2" borderId="41" xfId="0" applyFont="1" applyFill="1" applyBorder="1" applyAlignment="1">
      <alignment horizontal="center" wrapText="1"/>
    </xf>
    <xf numFmtId="0" fontId="13" fillId="2" borderId="3" xfId="0" applyFont="1" applyFill="1" applyBorder="1" applyAlignment="1">
      <alignment horizontal="center" wrapText="1"/>
    </xf>
    <xf numFmtId="0" fontId="13" fillId="2" borderId="51" xfId="0" applyFont="1" applyFill="1" applyBorder="1" applyAlignment="1">
      <alignment horizontal="center" wrapText="1"/>
    </xf>
    <xf numFmtId="0" fontId="13" fillId="2" borderId="52" xfId="0" applyFont="1" applyFill="1" applyBorder="1" applyAlignment="1">
      <alignment horizontal="center" wrapText="1"/>
    </xf>
    <xf numFmtId="0" fontId="13" fillId="2" borderId="34" xfId="0" applyFont="1" applyFill="1" applyBorder="1" applyAlignment="1">
      <alignment horizontal="center" wrapText="1"/>
    </xf>
    <xf numFmtId="0" fontId="13" fillId="2" borderId="37" xfId="0" applyFont="1" applyFill="1" applyBorder="1" applyAlignment="1">
      <alignment horizontal="center" wrapText="1"/>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3" fillId="2" borderId="34" xfId="0" applyFont="1" applyFill="1" applyBorder="1" applyAlignment="1">
      <alignment horizontal="center"/>
    </xf>
    <xf numFmtId="0" fontId="13" fillId="2" borderId="51" xfId="0" applyFont="1" applyFill="1" applyBorder="1" applyAlignment="1">
      <alignment horizontal="center"/>
    </xf>
    <xf numFmtId="0" fontId="13" fillId="2" borderId="1" xfId="0" applyFont="1" applyFill="1" applyBorder="1" applyAlignment="1">
      <alignment horizontal="center"/>
    </xf>
    <xf numFmtId="0" fontId="13" fillId="2" borderId="35" xfId="0" applyFont="1" applyFill="1" applyBorder="1" applyAlignment="1">
      <alignment horizontal="center"/>
    </xf>
    <xf numFmtId="0" fontId="13" fillId="2" borderId="2" xfId="0" applyFont="1" applyFill="1" applyBorder="1" applyAlignment="1">
      <alignment horizontal="center" wrapText="1"/>
    </xf>
    <xf numFmtId="0" fontId="16" fillId="0" borderId="41" xfId="0" applyFont="1" applyBorder="1" applyAlignment="1">
      <alignment horizontal="center" wrapText="1"/>
    </xf>
    <xf numFmtId="0" fontId="16" fillId="0" borderId="35" xfId="0" applyFont="1" applyBorder="1" applyAlignment="1">
      <alignment horizontal="center" wrapText="1"/>
    </xf>
    <xf numFmtId="0" fontId="16" fillId="0" borderId="3" xfId="0" applyFont="1" applyBorder="1" applyAlignment="1">
      <alignment horizontal="center" wrapText="1"/>
    </xf>
  </cellXfs>
  <cellStyles count="5">
    <cellStyle name="Hyperlink" xfId="4" builtinId="8"/>
    <cellStyle name="Normal" xfId="0" builtinId="0" customBuiltin="1"/>
    <cellStyle name="Normal 2" xfId="2" xr:uid="{3B885966-5D60-4239-9CAA-61962E998E20}"/>
    <cellStyle name="Normal 4" xfId="3" xr:uid="{EE680740-7D32-4421-AB29-DF4322DA1108}"/>
    <cellStyle name="Percent" xfId="1" builtinId="5"/>
  </cellStyles>
  <dxfs count="58">
    <dxf>
      <fill>
        <patternFill>
          <bgColor rgb="FFFF6969"/>
        </patternFill>
      </fill>
    </dxf>
    <dxf>
      <fill>
        <patternFill>
          <bgColor rgb="FFFF5757"/>
        </patternFill>
      </fill>
    </dxf>
    <dxf>
      <fill>
        <patternFill>
          <bgColor theme="9" tint="0.59996337778862885"/>
        </patternFill>
      </fill>
    </dxf>
    <dxf>
      <fill>
        <patternFill>
          <bgColor rgb="FFFF7171"/>
        </patternFill>
      </fill>
    </dxf>
    <dxf>
      <fill>
        <patternFill>
          <bgColor theme="9" tint="0.59996337778862885"/>
        </patternFill>
      </fill>
    </dxf>
    <dxf>
      <fill>
        <patternFill>
          <bgColor rgb="FF00B050"/>
        </patternFill>
      </fill>
    </dxf>
    <dxf>
      <fill>
        <patternFill>
          <bgColor rgb="FFFF0000"/>
        </patternFill>
      </fill>
    </dxf>
    <dxf>
      <fill>
        <patternFill>
          <bgColor rgb="FFDDEBF7"/>
        </patternFill>
      </fill>
    </dxf>
    <dxf>
      <fill>
        <patternFill>
          <bgColor rgb="FFDDEBF7"/>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D6F4FE"/>
        </patternFill>
      </fill>
    </dxf>
    <dxf>
      <fill>
        <patternFill>
          <bgColor rgb="FFD6F4FE"/>
        </patternFill>
      </fill>
    </dxf>
    <dxf>
      <fill>
        <patternFill>
          <bgColor rgb="FFFFF2CC"/>
        </patternFill>
      </fill>
    </dxf>
    <dxf>
      <fill>
        <patternFill>
          <bgColor rgb="FFFFF2CC"/>
        </patternFill>
      </fill>
    </dxf>
    <dxf>
      <fill>
        <patternFill>
          <bgColor rgb="FFFFF2CC"/>
        </patternFill>
      </fill>
    </dxf>
    <dxf>
      <font>
        <strike val="0"/>
        <outline val="0"/>
        <shadow val="0"/>
        <u val="none"/>
        <vertAlign val="baseline"/>
        <name val="Calibri"/>
        <family val="2"/>
        <scheme val="minor"/>
      </font>
      <border diagonalUp="0" diagonalDown="0" outline="0">
        <left style="thin">
          <color indexed="64"/>
        </left>
        <right/>
        <top style="thin">
          <color indexed="64"/>
        </top>
        <bottom style="thin">
          <color indexed="64"/>
        </bottom>
      </border>
    </dxf>
    <dxf>
      <font>
        <strike val="0"/>
        <outline val="0"/>
        <shadow val="0"/>
        <u val="none"/>
        <vertAlign val="baseline"/>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0"/>
        <color rgb="FF000000"/>
        <name val="Calibri"/>
        <family val="2"/>
        <scheme val="minor"/>
      </font>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strike val="0"/>
        <outline val="0"/>
        <shadow val="0"/>
        <u val="none"/>
        <vertAlign val="baseline"/>
        <name val="Calibri"/>
        <family val="2"/>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b/>
        <i val="0"/>
        <strike val="0"/>
        <condense val="0"/>
        <extend val="0"/>
        <outline val="0"/>
        <shadow val="0"/>
        <u val="none"/>
        <vertAlign val="baseline"/>
        <sz val="10"/>
        <color rgb="FF000000"/>
        <name val="Calibri"/>
        <family val="2"/>
        <scheme val="minor"/>
      </font>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top/>
        <bottom/>
      </border>
    </dxf>
    <dxf>
      <font>
        <strike val="0"/>
        <outline val="0"/>
        <shadow val="0"/>
        <u val="none"/>
        <vertAlign val="baseline"/>
        <color theme="1"/>
        <name val="Calibri"/>
        <family val="2"/>
        <scheme val="minor"/>
      </font>
      <numFmt numFmtId="165" formatCode="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font>
        <b val="0"/>
        <strike val="0"/>
        <outline val="0"/>
        <shadow val="0"/>
        <u val="none"/>
        <vertAlign val="baseline"/>
        <sz val="10"/>
        <color rgb="FF000000"/>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medium">
          <color indexed="64"/>
        </bottom>
      </border>
    </dxf>
    <dxf>
      <font>
        <strike val="0"/>
        <outline val="0"/>
        <shadow val="0"/>
        <u val="none"/>
        <vertAlign val="baseline"/>
        <name val="Calibri"/>
        <family val="2"/>
        <scheme val="minor"/>
      </font>
    </dxf>
  </dxfs>
  <tableStyles count="0" defaultTableStyle="TableStyleMedium2" defaultPivotStyle="PivotStyleLight16"/>
  <colors>
    <mruColors>
      <color rgb="FFFFF2CC"/>
      <color rgb="FFDDEBF7"/>
      <color rgb="FFFFFFFF"/>
      <color rgb="FFD6F4FE"/>
      <color rgb="FFFFFF99"/>
      <color rgb="FFCAF2FE"/>
      <color rgb="FF96E5FE"/>
      <color rgb="FFD19FFF"/>
      <color rgb="FFE575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TP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Calculations'!$F$14:$Z$14</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4C2B-492F-93E0-30C6384BA9F1}"/>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phosphorous</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TN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TN</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Calculations'!$F$26:$Z$26</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B97-4E7D-A5B5-13B572A352B6}"/>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nitrogen</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gi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editAs="oneCell">
    <xdr:from>
      <xdr:col>15</xdr:col>
      <xdr:colOff>1591603</xdr:colOff>
      <xdr:row>1</xdr:row>
      <xdr:rowOff>160197</xdr:rowOff>
    </xdr:from>
    <xdr:to>
      <xdr:col>15</xdr:col>
      <xdr:colOff>3351072</xdr:colOff>
      <xdr:row>6</xdr:row>
      <xdr:rowOff>250782</xdr:rowOff>
    </xdr:to>
    <xdr:pic>
      <xdr:nvPicPr>
        <xdr:cNvPr id="2" name="Picture 1" descr="See the source image">
          <a:extLst>
            <a:ext uri="{FF2B5EF4-FFF2-40B4-BE49-F238E27FC236}">
              <a16:creationId xmlns:a16="http://schemas.microsoft.com/office/drawing/2014/main" id="{7DC3AFCA-7B67-4E9C-864C-6853F41453F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82" t="4554" r="3865" b="5890"/>
        <a:stretch/>
      </xdr:blipFill>
      <xdr:spPr bwMode="auto">
        <a:xfrm>
          <a:off x="12348118" y="323758"/>
          <a:ext cx="1749944" cy="81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236797</xdr:colOff>
      <xdr:row>222</xdr:row>
      <xdr:rowOff>18789</xdr:rowOff>
    </xdr:from>
    <xdr:to>
      <xdr:col>12</xdr:col>
      <xdr:colOff>56020</xdr:colOff>
      <xdr:row>222</xdr:row>
      <xdr:rowOff>973614</xdr:rowOff>
    </xdr:to>
    <xdr:pic>
      <xdr:nvPicPr>
        <xdr:cNvPr id="4" name="Picture 3" descr="Royal HaskoningDHV company logo">
          <a:extLst>
            <a:ext uri="{FF2B5EF4-FFF2-40B4-BE49-F238E27FC236}">
              <a16:creationId xmlns:a16="http://schemas.microsoft.com/office/drawing/2014/main" id="{39785F44-A4D5-421F-A6C6-04FB76BBDA11}"/>
            </a:ext>
          </a:extLst>
        </xdr:cNvPr>
        <xdr:cNvPicPr>
          <a:picLocks noChangeAspect="1"/>
        </xdr:cNvPicPr>
      </xdr:nvPicPr>
      <xdr:blipFill>
        <a:blip xmlns:r="http://schemas.openxmlformats.org/officeDocument/2006/relationships" r:embed="rId2"/>
        <a:stretch>
          <a:fillRect/>
        </a:stretch>
      </xdr:blipFill>
      <xdr:spPr>
        <a:xfrm>
          <a:off x="5065972" y="58197489"/>
          <a:ext cx="1914552" cy="954825"/>
        </a:xfrm>
        <a:prstGeom prst="rect">
          <a:avLst/>
        </a:prstGeom>
      </xdr:spPr>
    </xdr:pic>
    <xdr:clientData/>
  </xdr:twoCellAnchor>
  <xdr:twoCellAnchor editAs="oneCell">
    <xdr:from>
      <xdr:col>15</xdr:col>
      <xdr:colOff>1866060</xdr:colOff>
      <xdr:row>6</xdr:row>
      <xdr:rowOff>649003</xdr:rowOff>
    </xdr:from>
    <xdr:to>
      <xdr:col>15</xdr:col>
      <xdr:colOff>3425945</xdr:colOff>
      <xdr:row>6</xdr:row>
      <xdr:rowOff>1105720</xdr:rowOff>
    </xdr:to>
    <xdr:pic>
      <xdr:nvPicPr>
        <xdr:cNvPr id="5" name="Picture 4" descr="Norfolk County Council company logo">
          <a:extLst>
            <a:ext uri="{FF2B5EF4-FFF2-40B4-BE49-F238E27FC236}">
              <a16:creationId xmlns:a16="http://schemas.microsoft.com/office/drawing/2014/main" id="{97CDE3B0-D969-4D9E-95C6-604A08986424}"/>
            </a:ext>
          </a:extLst>
        </xdr:cNvPr>
        <xdr:cNvPicPr>
          <a:picLocks noChangeAspect="1"/>
        </xdr:cNvPicPr>
      </xdr:nvPicPr>
      <xdr:blipFill>
        <a:blip xmlns:r="http://schemas.openxmlformats.org/officeDocument/2006/relationships" r:embed="rId3"/>
        <a:stretch>
          <a:fillRect/>
        </a:stretch>
      </xdr:blipFill>
      <xdr:spPr>
        <a:xfrm>
          <a:off x="12622575" y="1534155"/>
          <a:ext cx="1556710" cy="456717"/>
        </a:xfrm>
        <a:prstGeom prst="rect">
          <a:avLst/>
        </a:prstGeom>
      </xdr:spPr>
    </xdr:pic>
    <xdr:clientData/>
  </xdr:twoCellAnchor>
  <xdr:twoCellAnchor editAs="oneCell">
    <xdr:from>
      <xdr:col>12</xdr:col>
      <xdr:colOff>1932106</xdr:colOff>
      <xdr:row>3</xdr:row>
      <xdr:rowOff>8150</xdr:rowOff>
    </xdr:from>
    <xdr:to>
      <xdr:col>13</xdr:col>
      <xdr:colOff>554803</xdr:colOff>
      <xdr:row>6</xdr:row>
      <xdr:rowOff>103217</xdr:rowOff>
    </xdr:to>
    <xdr:pic>
      <xdr:nvPicPr>
        <xdr:cNvPr id="6" name="Picture 5" descr="Great Yarmouth Borough Council logo">
          <a:extLst>
            <a:ext uri="{FF2B5EF4-FFF2-40B4-BE49-F238E27FC236}">
              <a16:creationId xmlns:a16="http://schemas.microsoft.com/office/drawing/2014/main" id="{D5AD752F-1CBD-41D1-A65F-C06F585E8875}"/>
            </a:ext>
          </a:extLst>
        </xdr:cNvPr>
        <xdr:cNvPicPr>
          <a:picLocks noChangeAspect="1"/>
        </xdr:cNvPicPr>
      </xdr:nvPicPr>
      <xdr:blipFill>
        <a:blip xmlns:r="http://schemas.openxmlformats.org/officeDocument/2006/relationships" r:embed="rId4"/>
        <a:stretch>
          <a:fillRect/>
        </a:stretch>
      </xdr:blipFill>
      <xdr:spPr>
        <a:xfrm>
          <a:off x="8387939" y="508453"/>
          <a:ext cx="1932393" cy="483091"/>
        </a:xfrm>
        <a:prstGeom prst="rect">
          <a:avLst/>
        </a:prstGeom>
      </xdr:spPr>
    </xdr:pic>
    <xdr:clientData/>
  </xdr:twoCellAnchor>
  <xdr:twoCellAnchor editAs="oneCell">
    <xdr:from>
      <xdr:col>8</xdr:col>
      <xdr:colOff>279424</xdr:colOff>
      <xdr:row>6</xdr:row>
      <xdr:rowOff>469046</xdr:rowOff>
    </xdr:from>
    <xdr:to>
      <xdr:col>10</xdr:col>
      <xdr:colOff>181432</xdr:colOff>
      <xdr:row>6</xdr:row>
      <xdr:rowOff>1106246</xdr:rowOff>
    </xdr:to>
    <xdr:pic>
      <xdr:nvPicPr>
        <xdr:cNvPr id="7" name="Picture 6" descr="North Norfolk District Council logo">
          <a:extLst>
            <a:ext uri="{FF2B5EF4-FFF2-40B4-BE49-F238E27FC236}">
              <a16:creationId xmlns:a16="http://schemas.microsoft.com/office/drawing/2014/main" id="{9CC77786-3FD3-4606-9137-890F0CB77B65}"/>
            </a:ext>
          </a:extLst>
        </xdr:cNvPr>
        <xdr:cNvPicPr>
          <a:picLocks noChangeAspect="1"/>
        </xdr:cNvPicPr>
      </xdr:nvPicPr>
      <xdr:blipFill>
        <a:blip xmlns:r="http://schemas.openxmlformats.org/officeDocument/2006/relationships" r:embed="rId5"/>
        <a:stretch>
          <a:fillRect/>
        </a:stretch>
      </xdr:blipFill>
      <xdr:spPr>
        <a:xfrm>
          <a:off x="4493515" y="1354198"/>
          <a:ext cx="1621193" cy="637200"/>
        </a:xfrm>
        <a:prstGeom prst="rect">
          <a:avLst/>
        </a:prstGeom>
      </xdr:spPr>
    </xdr:pic>
    <xdr:clientData/>
  </xdr:twoCellAnchor>
  <xdr:twoCellAnchor editAs="oneCell">
    <xdr:from>
      <xdr:col>11</xdr:col>
      <xdr:colOff>554046</xdr:colOff>
      <xdr:row>6</xdr:row>
      <xdr:rowOff>508529</xdr:rowOff>
    </xdr:from>
    <xdr:to>
      <xdr:col>12</xdr:col>
      <xdr:colOff>1731828</xdr:colOff>
      <xdr:row>6</xdr:row>
      <xdr:rowOff>1182743</xdr:rowOff>
    </xdr:to>
    <xdr:pic>
      <xdr:nvPicPr>
        <xdr:cNvPr id="9" name="Picture 8" descr="Norwich City Council logo">
          <a:extLst>
            <a:ext uri="{FF2B5EF4-FFF2-40B4-BE49-F238E27FC236}">
              <a16:creationId xmlns:a16="http://schemas.microsoft.com/office/drawing/2014/main" id="{BEC0F670-0654-4586-9CF0-2E23CF953317}"/>
            </a:ext>
          </a:extLst>
        </xdr:cNvPr>
        <xdr:cNvPicPr>
          <a:picLocks noChangeAspect="1"/>
        </xdr:cNvPicPr>
      </xdr:nvPicPr>
      <xdr:blipFill rotWithShape="1">
        <a:blip xmlns:r="http://schemas.openxmlformats.org/officeDocument/2006/relationships" r:embed="rId6"/>
        <a:srcRect l="6687" t="14562" r="6524" b="17361"/>
        <a:stretch/>
      </xdr:blipFill>
      <xdr:spPr>
        <a:xfrm>
          <a:off x="6403743" y="1393681"/>
          <a:ext cx="1771219" cy="674214"/>
        </a:xfrm>
        <a:prstGeom prst="rect">
          <a:avLst/>
        </a:prstGeom>
      </xdr:spPr>
    </xdr:pic>
    <xdr:clientData/>
  </xdr:twoCellAnchor>
  <xdr:twoCellAnchor editAs="oneCell">
    <xdr:from>
      <xdr:col>14</xdr:col>
      <xdr:colOff>305454</xdr:colOff>
      <xdr:row>6</xdr:row>
      <xdr:rowOff>580048</xdr:rowOff>
    </xdr:from>
    <xdr:to>
      <xdr:col>15</xdr:col>
      <xdr:colOff>1354263</xdr:colOff>
      <xdr:row>6</xdr:row>
      <xdr:rowOff>1102558</xdr:rowOff>
    </xdr:to>
    <xdr:pic>
      <xdr:nvPicPr>
        <xdr:cNvPr id="10" name="Picture 9" descr="South Norfolk Council logo">
          <a:extLst>
            <a:ext uri="{FF2B5EF4-FFF2-40B4-BE49-F238E27FC236}">
              <a16:creationId xmlns:a16="http://schemas.microsoft.com/office/drawing/2014/main" id="{BAA1334B-C209-42F6-A5C7-69F7E8BFE7F8}"/>
            </a:ext>
          </a:extLst>
        </xdr:cNvPr>
        <xdr:cNvPicPr>
          <a:picLocks noChangeAspect="1"/>
        </xdr:cNvPicPr>
      </xdr:nvPicPr>
      <xdr:blipFill rotWithShape="1">
        <a:blip xmlns:r="http://schemas.openxmlformats.org/officeDocument/2006/relationships" r:embed="rId7"/>
        <a:srcRect t="32004" b="31425"/>
        <a:stretch/>
      </xdr:blipFill>
      <xdr:spPr>
        <a:xfrm>
          <a:off x="10677121" y="1465200"/>
          <a:ext cx="1433657" cy="519335"/>
        </a:xfrm>
        <a:prstGeom prst="rect">
          <a:avLst/>
        </a:prstGeom>
      </xdr:spPr>
    </xdr:pic>
    <xdr:clientData/>
  </xdr:twoCellAnchor>
  <xdr:twoCellAnchor editAs="oneCell">
    <xdr:from>
      <xdr:col>12</xdr:col>
      <xdr:colOff>2238301</xdr:colOff>
      <xdr:row>6</xdr:row>
      <xdr:rowOff>475012</xdr:rowOff>
    </xdr:from>
    <xdr:to>
      <xdr:col>13</xdr:col>
      <xdr:colOff>370344</xdr:colOff>
      <xdr:row>6</xdr:row>
      <xdr:rowOff>1095244</xdr:rowOff>
    </xdr:to>
    <xdr:pic>
      <xdr:nvPicPr>
        <xdr:cNvPr id="11" name="Picture 10" descr="Borough Council of King's Lynn and West Norfolk logo">
          <a:extLst>
            <a:ext uri="{FF2B5EF4-FFF2-40B4-BE49-F238E27FC236}">
              <a16:creationId xmlns:a16="http://schemas.microsoft.com/office/drawing/2014/main" id="{9220F952-FE05-4FE5-A571-E45EC1BA2170}"/>
            </a:ext>
          </a:extLst>
        </xdr:cNvPr>
        <xdr:cNvPicPr>
          <a:picLocks noChangeAspect="1"/>
        </xdr:cNvPicPr>
      </xdr:nvPicPr>
      <xdr:blipFill rotWithShape="1">
        <a:blip xmlns:r="http://schemas.openxmlformats.org/officeDocument/2006/relationships" r:embed="rId8"/>
        <a:srcRect l="9986" t="22685" r="8506" b="25722"/>
        <a:stretch/>
      </xdr:blipFill>
      <xdr:spPr>
        <a:xfrm>
          <a:off x="8694134" y="1360164"/>
          <a:ext cx="1448089" cy="620232"/>
        </a:xfrm>
        <a:prstGeom prst="rect">
          <a:avLst/>
        </a:prstGeom>
      </xdr:spPr>
    </xdr:pic>
    <xdr:clientData/>
  </xdr:twoCellAnchor>
  <xdr:twoCellAnchor editAs="oneCell">
    <xdr:from>
      <xdr:col>8</xdr:col>
      <xdr:colOff>378214</xdr:colOff>
      <xdr:row>3</xdr:row>
      <xdr:rowOff>39554</xdr:rowOff>
    </xdr:from>
    <xdr:to>
      <xdr:col>9</xdr:col>
      <xdr:colOff>838198</xdr:colOff>
      <xdr:row>6</xdr:row>
      <xdr:rowOff>226719</xdr:rowOff>
    </xdr:to>
    <xdr:pic>
      <xdr:nvPicPr>
        <xdr:cNvPr id="12" name="Picture 11" descr="Broadland District Council logo">
          <a:extLst>
            <a:ext uri="{FF2B5EF4-FFF2-40B4-BE49-F238E27FC236}">
              <a16:creationId xmlns:a16="http://schemas.microsoft.com/office/drawing/2014/main" id="{1DADA515-70BB-4A62-AE82-E686B6F192D7}"/>
            </a:ext>
          </a:extLst>
        </xdr:cNvPr>
        <xdr:cNvPicPr>
          <a:picLocks noChangeAspect="1"/>
        </xdr:cNvPicPr>
      </xdr:nvPicPr>
      <xdr:blipFill rotWithShape="1">
        <a:blip xmlns:r="http://schemas.openxmlformats.org/officeDocument/2006/relationships" r:embed="rId9"/>
        <a:srcRect l="4630" t="17796" r="6685" b="23479"/>
        <a:stretch/>
      </xdr:blipFill>
      <xdr:spPr>
        <a:xfrm>
          <a:off x="4592305" y="539857"/>
          <a:ext cx="1300552" cy="568839"/>
        </a:xfrm>
        <a:prstGeom prst="rect">
          <a:avLst/>
        </a:prstGeom>
      </xdr:spPr>
    </xdr:pic>
    <xdr:clientData/>
  </xdr:twoCellAnchor>
  <xdr:twoCellAnchor editAs="oneCell">
    <xdr:from>
      <xdr:col>15</xdr:col>
      <xdr:colOff>46487</xdr:colOff>
      <xdr:row>2</xdr:row>
      <xdr:rowOff>28550</xdr:rowOff>
    </xdr:from>
    <xdr:to>
      <xdr:col>15</xdr:col>
      <xdr:colOff>1086302</xdr:colOff>
      <xdr:row>6</xdr:row>
      <xdr:rowOff>283345</xdr:rowOff>
    </xdr:to>
    <xdr:pic>
      <xdr:nvPicPr>
        <xdr:cNvPr id="13" name="Picture 12" descr="Breckland Council logo">
          <a:extLst>
            <a:ext uri="{FF2B5EF4-FFF2-40B4-BE49-F238E27FC236}">
              <a16:creationId xmlns:a16="http://schemas.microsoft.com/office/drawing/2014/main" id="{3CF935B2-CFCB-47C3-B20F-4F4D2B4D0471}"/>
            </a:ext>
          </a:extLst>
        </xdr:cNvPr>
        <xdr:cNvPicPr>
          <a:picLocks noChangeAspect="1"/>
        </xdr:cNvPicPr>
      </xdr:nvPicPr>
      <xdr:blipFill rotWithShape="1">
        <a:blip xmlns:r="http://schemas.openxmlformats.org/officeDocument/2006/relationships" r:embed="rId10"/>
        <a:srcRect t="11701" b="11701"/>
        <a:stretch/>
      </xdr:blipFill>
      <xdr:spPr>
        <a:xfrm>
          <a:off x="10803002" y="374914"/>
          <a:ext cx="1039815" cy="787232"/>
        </a:xfrm>
        <a:prstGeom prst="rect">
          <a:avLst/>
        </a:prstGeom>
      </xdr:spPr>
    </xdr:pic>
    <xdr:clientData/>
  </xdr:twoCellAnchor>
  <xdr:twoCellAnchor editAs="oneCell">
    <xdr:from>
      <xdr:col>11</xdr:col>
      <xdr:colOff>471440</xdr:colOff>
      <xdr:row>2</xdr:row>
      <xdr:rowOff>125076</xdr:rowOff>
    </xdr:from>
    <xdr:to>
      <xdr:col>12</xdr:col>
      <xdr:colOff>1770303</xdr:colOff>
      <xdr:row>6</xdr:row>
      <xdr:rowOff>237471</xdr:rowOff>
    </xdr:to>
    <xdr:pic>
      <xdr:nvPicPr>
        <xdr:cNvPr id="15" name="Picture 14" descr="Terms and conditions">
          <a:extLst>
            <a:ext uri="{FF2B5EF4-FFF2-40B4-BE49-F238E27FC236}">
              <a16:creationId xmlns:a16="http://schemas.microsoft.com/office/drawing/2014/main" id="{FC21D4CB-696D-4007-8DD9-72558DA0F7D4}"/>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r="31892"/>
        <a:stretch/>
      </xdr:blipFill>
      <xdr:spPr bwMode="auto">
        <a:xfrm>
          <a:off x="6321137" y="471440"/>
          <a:ext cx="1905000" cy="65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30545</xdr:colOff>
      <xdr:row>28</xdr:row>
      <xdr:rowOff>126369</xdr:rowOff>
    </xdr:from>
    <xdr:to>
      <xdr:col>21</xdr:col>
      <xdr:colOff>33618</xdr:colOff>
      <xdr:row>46</xdr:row>
      <xdr:rowOff>22413</xdr:rowOff>
    </xdr:to>
    <xdr:graphicFrame macro="">
      <xdr:nvGraphicFramePr>
        <xdr:cNvPr id="2" name="Chart 1" descr="Total Phosphorus Zero value calculator graph. X axis shows the percentage of the proposed development that would be set aside. The Y axis shows the total phosphorus load. ">
          <a:extLst>
            <a:ext uri="{FF2B5EF4-FFF2-40B4-BE49-F238E27FC236}">
              <a16:creationId xmlns:a16="http://schemas.microsoft.com/office/drawing/2014/main" id="{63640F61-E7DE-49AE-85BB-57BC51CF1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30442</xdr:colOff>
      <xdr:row>46</xdr:row>
      <xdr:rowOff>142502</xdr:rowOff>
    </xdr:from>
    <xdr:to>
      <xdr:col>21</xdr:col>
      <xdr:colOff>33618</xdr:colOff>
      <xdr:row>53</xdr:row>
      <xdr:rowOff>78443</xdr:rowOff>
    </xdr:to>
    <xdr:graphicFrame macro="">
      <xdr:nvGraphicFramePr>
        <xdr:cNvPr id="3" name="Chart 2" descr="Total Nitrogen Zero value calculator graph. X axis shows the percentage of the proposed development that would be set aside. The Y axis shows the total nitrogen load. ">
          <a:extLst>
            <a:ext uri="{FF2B5EF4-FFF2-40B4-BE49-F238E27FC236}">
              <a16:creationId xmlns:a16="http://schemas.microsoft.com/office/drawing/2014/main" id="{F77A16DB-872A-4482-B701-6193E15F4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30857</xdr:rowOff>
    </xdr:from>
    <xdr:to>
      <xdr:col>17</xdr:col>
      <xdr:colOff>514350</xdr:colOff>
      <xdr:row>50</xdr:row>
      <xdr:rowOff>117363</xdr:rowOff>
    </xdr:to>
    <xdr:pic>
      <xdr:nvPicPr>
        <xdr:cNvPr id="3" name="Picture 2" descr="Average annual rainfall data with the nutrient neutrality catchment. Rainfall ranges from 550 mm per year to 850 mm per year.">
          <a:extLst>
            <a:ext uri="{FF2B5EF4-FFF2-40B4-BE49-F238E27FC236}">
              <a16:creationId xmlns:a16="http://schemas.microsoft.com/office/drawing/2014/main" id="{29A31306-67C7-4E32-966E-B1034A6A08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0957"/>
          <a:ext cx="10877550" cy="769698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500EF3-77F0-467A-961C-20B13BA11DE1}" name="Table1" displayName="Table1" ref="B2:K86" totalsRowShown="0" headerRowDxfId="57" dataDxfId="55" headerRowBorderDxfId="56" tableBorderDxfId="54">
  <autoFilter ref="B2:K86" xr:uid="{3C00E521-38CF-41F5-8D98-30C4E17CD153}"/>
  <tableColumns count="10">
    <tableColumn id="1" xr3:uid="{132379D4-C42C-4272-812E-BCF4A7023A8D}" name="Water Recycling Centre (WRC)" dataDxfId="53" totalsRowDxfId="52"/>
    <tableColumn id="5" xr3:uid="{D0943D36-4853-46E8-AAD6-A7C7B162A51E}" name="2022 Value known?" dataDxfId="51" totalsRowDxfId="50"/>
    <tableColumn id="2" xr3:uid="{D6A22126-B925-404C-A585-55B346310981}" name="2022 TP Discharge level (mg/l)" dataDxfId="49" totalsRowDxfId="48">
      <calculatedColumnFormula>IF(Table1[[#This Row],[2022 Value known?]]="No",5,0)</calculatedColumnFormula>
    </tableColumn>
    <tableColumn id="3" xr3:uid="{9BC600AB-76A0-4516-B4DA-50BC5EC8D645}" name="2022 TN Discharge level (mg/l)" dataDxfId="47" totalsRowDxfId="46">
      <calculatedColumnFormula>25</calculatedColumnFormula>
    </tableColumn>
    <tableColumn id="9" xr3:uid="{02C1601F-537C-4927-BBE9-D2E1E65DA0A7}" name="2025 Value known?" dataDxfId="45" totalsRowDxfId="44"/>
    <tableColumn id="4" xr3:uid="{21F8819C-8D6D-4BEC-B9B0-DA963C1AB5B1}" name="Post 2025 TP Discharge level (mg/l)" dataDxfId="43" totalsRowDxfId="42"/>
    <tableColumn id="7" xr3:uid="{AB3C6A67-6E39-4B71-B47E-1C8781DD7085}" name="Post 2025 TN Discharge level (mg/l)" dataDxfId="41" totalsRowDxfId="40">
      <calculatedColumnFormula>27</calculatedColumnFormula>
    </tableColumn>
    <tableColumn id="6" xr3:uid="{B723A150-F8E0-4339-969C-B4800DF4534A}" name="2030 Value known?" dataDxfId="39" totalsRowDxfId="38"/>
    <tableColumn id="8" xr3:uid="{F4BECF41-3F5C-4C58-BD2D-5DE270984B75}" name="Post 2030 TP discharge level (mg/l)" dataDxfId="37" totalsRowDxfId="36">
      <calculatedColumnFormula>0.25*0.9</calculatedColumnFormula>
    </tableColumn>
    <tableColumn id="10" xr3:uid="{87D0FDE5-3EFD-4EAA-9163-0FD84F4AF4C9}" name="Post 2030 TN discharge level (mg/l)" dataDxfId="35" totalsRowDxfId="34">
      <calculatedColumnFormula>10*0.9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5AE6EDE-372F-4609-9D6A-FA738BCDB466}" name="Table2" displayName="Table2" ref="N2:P9" totalsRowShown="0" headerRowDxfId="33" dataDxfId="32">
  <autoFilter ref="N2:P9" xr:uid="{307B00A4-2832-4B35-8D42-EC8056ECD36B}"/>
  <tableColumns count="3">
    <tableColumn id="1" xr3:uid="{F981CFFB-C24C-45E2-8261-567716B0350F}" name="Land Use classification" dataDxfId="31"/>
    <tableColumn id="2" xr3:uid="{34307E7B-4C87-4413-8E9E-C80DC28B03B9}" name="Leaching rate (kg / ha / yr)" dataDxfId="30"/>
    <tableColumn id="3" xr3:uid="{F4E9D1F1-C17A-4E20-BEB2-5DADDEE89633}" name="Leaching rate (kg / ha / yr)2" dataDxfId="29"/>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654144-2481-488B-9565-63F87905A271}" name="Table3" displayName="Table3" ref="N17:P22" totalsRowShown="0" headerRowDxfId="28" dataDxfId="26" headerRowBorderDxfId="27" tableBorderDxfId="25" totalsRowBorderDxfId="24">
  <autoFilter ref="N17:P22" xr:uid="{C8654144-2481-488B-9565-63F87905A271}"/>
  <tableColumns count="3">
    <tableColumn id="1" xr3:uid="{5F34F050-241F-4B01-932B-F47E0A2DE76F}" name="Treatment type" dataDxfId="23"/>
    <tableColumn id="2" xr3:uid="{8FB3D500-BA37-4D3E-90E9-07694A8FAE99}" name="P removal" dataDxfId="22"/>
    <tableColumn id="3" xr3:uid="{A8042B82-2E28-46C4-BE86-B2BD16558A98}" name="N removal" dataDxfId="21"/>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apapps2.bgs.ac.uk/ukso/home.html?layers=NVZEng" TargetMode="External"/><Relationship Id="rId7" Type="http://schemas.openxmlformats.org/officeDocument/2006/relationships/drawing" Target="../drawings/drawing1.xml"/><Relationship Id="rId2" Type="http://schemas.openxmlformats.org/officeDocument/2006/relationships/hyperlink" Target="https://environment.data.gov.uk/catchment-planning/ManagementCatchment/3008" TargetMode="External"/><Relationship Id="rId1" Type="http://schemas.openxmlformats.org/officeDocument/2006/relationships/hyperlink" Target="https://gridreferencefinder.com/" TargetMode="External"/><Relationship Id="rId6" Type="http://schemas.openxmlformats.org/officeDocument/2006/relationships/customProperty" Target="../customProperty1.bin"/><Relationship Id="rId5" Type="http://schemas.openxmlformats.org/officeDocument/2006/relationships/printerSettings" Target="../printerSettings/printerSettings1.bin"/><Relationship Id="rId4" Type="http://schemas.openxmlformats.org/officeDocument/2006/relationships/hyperlink" Target="http://www.landis.org.uk/soilscapes/index.cfm" TargetMode="Externa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FB60-A6FF-4381-AFC7-8E138F60971D}">
  <sheetPr>
    <tabColor theme="9" tint="0.79998168889431442"/>
  </sheetPr>
  <dimension ref="A1:R226"/>
  <sheetViews>
    <sheetView tabSelected="1" zoomScale="80" zoomScaleNormal="80" workbookViewId="0">
      <selection activeCell="C182" sqref="C182:E182"/>
    </sheetView>
  </sheetViews>
  <sheetFormatPr defaultRowHeight="13.2" x14ac:dyDescent="0.25"/>
  <cols>
    <col min="1" max="1" width="5.21875" customWidth="1"/>
    <col min="2" max="2" width="1.21875" customWidth="1"/>
    <col min="3" max="3" width="7.44140625" customWidth="1"/>
    <col min="4" max="4" width="5.77734375" customWidth="1"/>
    <col min="6" max="6" width="10.77734375" customWidth="1"/>
    <col min="7" max="7" width="13" customWidth="1"/>
    <col min="8" max="9" width="11.77734375" customWidth="1"/>
    <col min="10" max="10" width="12.5546875" customWidth="1"/>
    <col min="13" max="13" width="47.44140625" customWidth="1"/>
    <col min="14" max="14" width="8.77734375" customWidth="1"/>
    <col min="15" max="15" width="5.44140625" customWidth="1"/>
    <col min="16" max="16" width="59.77734375" customWidth="1"/>
    <col min="17" max="17" width="1.44140625" customWidth="1"/>
  </cols>
  <sheetData>
    <row r="1" spans="1:17" ht="14.4" thickBot="1" x14ac:dyDescent="0.35">
      <c r="A1" s="40" t="s">
        <v>581</v>
      </c>
    </row>
    <row r="2" spans="1:17" ht="14.55" customHeight="1" x14ac:dyDescent="0.25">
      <c r="B2" s="1"/>
      <c r="C2" s="33"/>
      <c r="D2" s="33"/>
      <c r="E2" s="33"/>
      <c r="F2" s="33"/>
      <c r="G2" s="33"/>
      <c r="H2" s="33"/>
      <c r="I2" s="33"/>
      <c r="J2" s="33"/>
      <c r="K2" s="33"/>
      <c r="L2" s="33"/>
      <c r="M2" s="33"/>
      <c r="N2" s="33"/>
      <c r="O2" s="33"/>
      <c r="P2" s="33"/>
      <c r="Q2" s="3"/>
    </row>
    <row r="3" spans="1:17" ht="12" customHeight="1" x14ac:dyDescent="0.25">
      <c r="B3" s="4"/>
      <c r="C3" s="38" t="s">
        <v>622</v>
      </c>
      <c r="D3" s="37"/>
      <c r="E3" s="37"/>
      <c r="F3" s="37"/>
      <c r="G3" s="37"/>
      <c r="H3" s="12"/>
      <c r="I3" s="12"/>
      <c r="J3" s="12"/>
      <c r="K3" s="12"/>
      <c r="L3" s="12"/>
      <c r="M3" s="23"/>
      <c r="N3" s="12"/>
      <c r="O3" s="12"/>
      <c r="P3" s="12"/>
      <c r="Q3" s="6"/>
    </row>
    <row r="4" spans="1:17" ht="11.55" customHeight="1" x14ac:dyDescent="0.25">
      <c r="B4" s="4"/>
      <c r="C4" s="12"/>
      <c r="D4" s="12"/>
      <c r="E4" s="12"/>
      <c r="F4" s="12"/>
      <c r="G4" s="12"/>
      <c r="H4" s="12"/>
      <c r="I4" s="12"/>
      <c r="J4" s="12"/>
      <c r="K4" s="12"/>
      <c r="L4" s="12"/>
      <c r="M4" s="12"/>
      <c r="N4" s="12"/>
      <c r="O4" s="12"/>
      <c r="P4" s="12"/>
      <c r="Q4" s="6"/>
    </row>
    <row r="5" spans="1:17" ht="6" customHeight="1" x14ac:dyDescent="0.25">
      <c r="B5" s="4"/>
      <c r="C5" s="12"/>
      <c r="D5" s="12"/>
      <c r="E5" s="12"/>
      <c r="F5" s="12"/>
      <c r="G5" s="12"/>
      <c r="H5" s="12"/>
      <c r="I5" s="12"/>
      <c r="J5" s="12"/>
      <c r="K5" s="12"/>
      <c r="L5" s="12"/>
      <c r="M5" s="12"/>
      <c r="N5" s="12"/>
      <c r="O5" s="12"/>
      <c r="P5" s="12"/>
      <c r="Q5" s="6"/>
    </row>
    <row r="6" spans="1:17" x14ac:dyDescent="0.25">
      <c r="B6" s="4"/>
      <c r="C6" s="5"/>
      <c r="D6" s="5"/>
      <c r="E6" s="35"/>
      <c r="F6" s="12"/>
      <c r="G6" s="12"/>
      <c r="H6" s="12"/>
      <c r="I6" s="12"/>
      <c r="J6" s="12"/>
      <c r="K6" s="12"/>
      <c r="M6" s="12"/>
      <c r="N6" s="12"/>
      <c r="O6" s="12"/>
      <c r="P6" s="12"/>
      <c r="Q6" s="6"/>
    </row>
    <row r="7" spans="1:17" ht="103.5" customHeight="1" x14ac:dyDescent="0.3">
      <c r="B7" s="4"/>
      <c r="C7" s="394" t="s">
        <v>41</v>
      </c>
      <c r="D7" s="394"/>
      <c r="F7" s="41"/>
      <c r="G7" s="41"/>
      <c r="H7" s="70"/>
      <c r="I7" s="41"/>
      <c r="J7" s="41"/>
      <c r="K7" s="41"/>
      <c r="L7" s="41"/>
      <c r="M7" s="41"/>
      <c r="N7" s="41"/>
      <c r="O7" s="41"/>
      <c r="P7" s="41"/>
      <c r="Q7" s="6"/>
    </row>
    <row r="8" spans="1:17" ht="99" customHeight="1" x14ac:dyDescent="0.25">
      <c r="B8" s="4"/>
      <c r="C8" s="361" t="s">
        <v>605</v>
      </c>
      <c r="D8" s="361"/>
      <c r="E8" s="361"/>
      <c r="F8" s="361"/>
      <c r="G8" s="361"/>
      <c r="H8" s="361"/>
      <c r="I8" s="361"/>
      <c r="J8" s="361"/>
      <c r="K8" s="361"/>
      <c r="L8" s="361"/>
      <c r="M8" s="361"/>
      <c r="N8" s="361"/>
      <c r="O8" s="361"/>
      <c r="P8" s="361"/>
      <c r="Q8" s="6"/>
    </row>
    <row r="9" spans="1:17" ht="153" customHeight="1" x14ac:dyDescent="0.25">
      <c r="B9" s="4"/>
      <c r="C9" s="361" t="s">
        <v>594</v>
      </c>
      <c r="D9" s="361"/>
      <c r="E9" s="361"/>
      <c r="F9" s="361"/>
      <c r="G9" s="361"/>
      <c r="H9" s="361"/>
      <c r="I9" s="361"/>
      <c r="J9" s="361"/>
      <c r="K9" s="361"/>
      <c r="L9" s="361"/>
      <c r="M9" s="361"/>
      <c r="N9" s="361"/>
      <c r="O9" s="361"/>
      <c r="P9" s="361"/>
      <c r="Q9" s="6"/>
    </row>
    <row r="10" spans="1:17" ht="69" customHeight="1" x14ac:dyDescent="0.25">
      <c r="B10" s="4"/>
      <c r="C10" s="361" t="s">
        <v>606</v>
      </c>
      <c r="D10" s="361"/>
      <c r="E10" s="361"/>
      <c r="F10" s="361"/>
      <c r="G10" s="361"/>
      <c r="H10" s="361"/>
      <c r="I10" s="361"/>
      <c r="J10" s="361"/>
      <c r="K10" s="361"/>
      <c r="L10" s="361"/>
      <c r="M10" s="361"/>
      <c r="N10" s="361"/>
      <c r="O10" s="361"/>
      <c r="P10" s="361"/>
      <c r="Q10" s="6"/>
    </row>
    <row r="11" spans="1:17" ht="196.5" customHeight="1" x14ac:dyDescent="0.25">
      <c r="B11" s="4"/>
      <c r="C11" s="361" t="s">
        <v>607</v>
      </c>
      <c r="D11" s="361"/>
      <c r="E11" s="361"/>
      <c r="F11" s="361"/>
      <c r="G11" s="361"/>
      <c r="H11" s="361"/>
      <c r="I11" s="361"/>
      <c r="J11" s="361"/>
      <c r="K11" s="361"/>
      <c r="L11" s="361"/>
      <c r="M11" s="361"/>
      <c r="N11" s="361"/>
      <c r="O11" s="361"/>
      <c r="P11" s="361"/>
      <c r="Q11" s="6"/>
    </row>
    <row r="12" spans="1:17" ht="23.1" customHeight="1" x14ac:dyDescent="0.25">
      <c r="B12" s="4"/>
      <c r="C12" s="361" t="s">
        <v>262</v>
      </c>
      <c r="D12" s="361"/>
      <c r="E12" s="361"/>
      <c r="F12" s="361"/>
      <c r="G12" s="361"/>
      <c r="H12" s="361"/>
      <c r="I12" s="361"/>
      <c r="J12" s="361"/>
      <c r="K12" s="361"/>
      <c r="L12" s="361"/>
      <c r="M12" s="361"/>
      <c r="N12" s="361"/>
      <c r="O12" s="361"/>
      <c r="P12" s="361"/>
      <c r="Q12" s="6"/>
    </row>
    <row r="13" spans="1:17" ht="16.05" customHeight="1" x14ac:dyDescent="0.25">
      <c r="B13" s="4"/>
      <c r="C13" s="361"/>
      <c r="D13" s="361"/>
      <c r="E13" s="361"/>
      <c r="F13" s="361"/>
      <c r="G13" s="361"/>
      <c r="H13" s="361"/>
      <c r="I13" s="361"/>
      <c r="J13" s="361"/>
      <c r="K13" s="361"/>
      <c r="L13" s="361"/>
      <c r="M13" s="361"/>
      <c r="N13" s="361"/>
      <c r="O13" s="361"/>
      <c r="P13" s="361"/>
      <c r="Q13" s="6"/>
    </row>
    <row r="14" spans="1:17" ht="49.05" customHeight="1" x14ac:dyDescent="0.25">
      <c r="B14" s="4"/>
      <c r="C14" s="361" t="s">
        <v>517</v>
      </c>
      <c r="D14" s="361"/>
      <c r="E14" s="361"/>
      <c r="F14" s="361"/>
      <c r="G14" s="361"/>
      <c r="H14" s="361"/>
      <c r="I14" s="361"/>
      <c r="J14" s="361"/>
      <c r="K14" s="361"/>
      <c r="L14" s="361"/>
      <c r="M14" s="361"/>
      <c r="N14" s="361"/>
      <c r="O14" s="361"/>
      <c r="P14" s="361"/>
      <c r="Q14" s="6"/>
    </row>
    <row r="15" spans="1:17" ht="34.049999999999997" customHeight="1" x14ac:dyDescent="0.25">
      <c r="B15" s="4"/>
      <c r="C15" s="361" t="s">
        <v>263</v>
      </c>
      <c r="D15" s="361"/>
      <c r="E15" s="361"/>
      <c r="F15" s="361"/>
      <c r="G15" s="361"/>
      <c r="H15" s="361"/>
      <c r="I15" s="361"/>
      <c r="J15" s="361"/>
      <c r="K15" s="361"/>
      <c r="L15" s="361"/>
      <c r="M15" s="361"/>
      <c r="N15" s="361"/>
      <c r="O15" s="361"/>
      <c r="P15" s="361"/>
      <c r="Q15" s="6"/>
    </row>
    <row r="16" spans="1:17" ht="19.5" customHeight="1" x14ac:dyDescent="0.25">
      <c r="B16" s="4"/>
      <c r="C16" s="361" t="s">
        <v>608</v>
      </c>
      <c r="D16" s="361"/>
      <c r="E16" s="361"/>
      <c r="F16" s="361"/>
      <c r="G16" s="361"/>
      <c r="H16" s="361"/>
      <c r="I16" s="361"/>
      <c r="J16" s="361"/>
      <c r="K16" s="361"/>
      <c r="L16" s="361"/>
      <c r="M16" s="361"/>
      <c r="N16" s="361"/>
      <c r="O16" s="361"/>
      <c r="P16" s="361"/>
      <c r="Q16" s="6"/>
    </row>
    <row r="17" spans="2:17" ht="139.94999999999999" customHeight="1" x14ac:dyDescent="0.25">
      <c r="B17" s="4"/>
      <c r="C17" s="361"/>
      <c r="D17" s="361"/>
      <c r="E17" s="361"/>
      <c r="F17" s="361"/>
      <c r="G17" s="361"/>
      <c r="H17" s="361"/>
      <c r="I17" s="361"/>
      <c r="J17" s="361"/>
      <c r="K17" s="361"/>
      <c r="L17" s="361"/>
      <c r="M17" s="361"/>
      <c r="N17" s="361"/>
      <c r="O17" s="361"/>
      <c r="P17" s="361"/>
      <c r="Q17" s="6"/>
    </row>
    <row r="18" spans="2:17" ht="17.100000000000001" customHeight="1" x14ac:dyDescent="0.25">
      <c r="B18" s="4"/>
      <c r="C18" s="347" t="s">
        <v>44</v>
      </c>
      <c r="D18" s="49"/>
      <c r="E18" s="49"/>
      <c r="F18" s="49"/>
      <c r="G18" s="49"/>
      <c r="H18" s="49"/>
      <c r="I18" s="49"/>
      <c r="J18" s="49"/>
      <c r="K18" s="142"/>
      <c r="L18" s="142"/>
      <c r="M18" s="142"/>
      <c r="N18" s="142"/>
      <c r="O18" s="142"/>
      <c r="P18" s="142"/>
      <c r="Q18" s="6"/>
    </row>
    <row r="19" spans="2:17" ht="5.0999999999999996" customHeight="1" x14ac:dyDescent="0.25">
      <c r="B19" s="4"/>
      <c r="C19" s="38"/>
      <c r="D19" s="49"/>
      <c r="E19" s="49"/>
      <c r="F19" s="49"/>
      <c r="G19" s="49"/>
      <c r="H19" s="49"/>
      <c r="I19" s="49"/>
      <c r="J19" s="49"/>
      <c r="K19" s="142"/>
      <c r="L19" s="142"/>
      <c r="M19" s="142"/>
      <c r="N19" s="142"/>
      <c r="O19" s="142"/>
      <c r="P19" s="142"/>
      <c r="Q19" s="6"/>
    </row>
    <row r="20" spans="2:17" ht="56.1" customHeight="1" x14ac:dyDescent="0.25">
      <c r="B20" s="4"/>
      <c r="C20" s="361" t="s">
        <v>264</v>
      </c>
      <c r="D20" s="361"/>
      <c r="E20" s="361"/>
      <c r="F20" s="361"/>
      <c r="G20" s="361"/>
      <c r="H20" s="361"/>
      <c r="I20" s="361"/>
      <c r="J20" s="361"/>
      <c r="K20" s="361"/>
      <c r="L20" s="361"/>
      <c r="M20" s="361"/>
      <c r="N20" s="361"/>
      <c r="O20" s="361"/>
      <c r="P20" s="361"/>
      <c r="Q20" s="6"/>
    </row>
    <row r="21" spans="2:17" ht="16.05" customHeight="1" x14ac:dyDescent="0.25">
      <c r="B21" s="4"/>
      <c r="C21" s="375" t="s">
        <v>128</v>
      </c>
      <c r="D21" s="375"/>
      <c r="E21" s="375"/>
      <c r="F21" s="375"/>
      <c r="G21" s="375"/>
      <c r="H21" s="375"/>
      <c r="I21" s="375"/>
      <c r="J21" s="375"/>
      <c r="K21" s="375"/>
      <c r="L21" s="375"/>
      <c r="M21" s="375"/>
      <c r="N21" s="142"/>
      <c r="O21" s="142"/>
      <c r="P21" s="142"/>
      <c r="Q21" s="6"/>
    </row>
    <row r="22" spans="2:17" ht="44.55" customHeight="1" x14ac:dyDescent="0.25">
      <c r="B22" s="4"/>
      <c r="C22" s="361" t="s">
        <v>132</v>
      </c>
      <c r="D22" s="361"/>
      <c r="E22" s="361"/>
      <c r="F22" s="361"/>
      <c r="G22" s="361"/>
      <c r="H22" s="361"/>
      <c r="I22" s="361"/>
      <c r="J22" s="361"/>
      <c r="K22" s="361"/>
      <c r="L22" s="361"/>
      <c r="M22" s="361"/>
      <c r="N22" s="361"/>
      <c r="O22" s="361"/>
      <c r="P22" s="361"/>
      <c r="Q22" s="6"/>
    </row>
    <row r="23" spans="2:17" ht="98.1" customHeight="1" x14ac:dyDescent="0.25">
      <c r="B23" s="4"/>
      <c r="C23" s="361" t="s">
        <v>133</v>
      </c>
      <c r="D23" s="361"/>
      <c r="E23" s="361"/>
      <c r="F23" s="361"/>
      <c r="G23" s="361"/>
      <c r="H23" s="361"/>
      <c r="I23" s="361"/>
      <c r="J23" s="361"/>
      <c r="K23" s="361"/>
      <c r="L23" s="361"/>
      <c r="M23" s="361"/>
      <c r="N23" s="361"/>
      <c r="O23" s="361"/>
      <c r="P23" s="361"/>
      <c r="Q23" s="6"/>
    </row>
    <row r="24" spans="2:17" ht="31.5" customHeight="1" x14ac:dyDescent="0.25">
      <c r="B24" s="4"/>
      <c r="C24" s="375" t="s">
        <v>265</v>
      </c>
      <c r="D24" s="375"/>
      <c r="E24" s="375"/>
      <c r="F24" s="375"/>
      <c r="G24" s="375"/>
      <c r="H24" s="375"/>
      <c r="I24" s="375"/>
      <c r="J24" s="375"/>
      <c r="K24" s="375"/>
      <c r="L24" s="375"/>
      <c r="M24" s="375"/>
      <c r="N24" s="142"/>
      <c r="O24" s="142"/>
      <c r="P24" s="142"/>
      <c r="Q24" s="6"/>
    </row>
    <row r="25" spans="2:17" ht="16.05" customHeight="1" x14ac:dyDescent="0.25">
      <c r="B25" s="4"/>
      <c r="C25" s="375" t="s">
        <v>604</v>
      </c>
      <c r="D25" s="375"/>
      <c r="E25" s="375"/>
      <c r="F25" s="375"/>
      <c r="G25" s="375"/>
      <c r="H25" s="375"/>
      <c r="I25" s="375"/>
      <c r="J25" s="375"/>
      <c r="K25" s="375"/>
      <c r="L25" s="375"/>
      <c r="M25" s="375"/>
      <c r="N25" s="142"/>
      <c r="O25" s="142"/>
      <c r="P25" s="142"/>
      <c r="Q25" s="6"/>
    </row>
    <row r="26" spans="2:17" ht="9.6" customHeight="1" x14ac:dyDescent="0.25">
      <c r="B26" s="4"/>
      <c r="C26" s="143"/>
      <c r="D26" s="143"/>
      <c r="E26" s="143"/>
      <c r="F26" s="143"/>
      <c r="G26" s="143"/>
      <c r="H26" s="143"/>
      <c r="I26" s="143"/>
      <c r="J26" s="143"/>
      <c r="K26" s="143"/>
      <c r="L26" s="143"/>
      <c r="M26" s="143"/>
      <c r="N26" s="143"/>
      <c r="O26" s="143"/>
      <c r="P26" s="143"/>
      <c r="Q26" s="6"/>
    </row>
    <row r="27" spans="2:17" ht="15.6" x14ac:dyDescent="0.25">
      <c r="B27" s="4"/>
      <c r="C27" s="377" t="s">
        <v>43</v>
      </c>
      <c r="D27" s="377"/>
      <c r="E27" s="49"/>
      <c r="F27" s="49"/>
      <c r="G27" s="49"/>
      <c r="H27" s="49"/>
      <c r="I27" s="49"/>
      <c r="J27" s="49"/>
      <c r="K27" s="49"/>
      <c r="L27" s="49"/>
      <c r="M27" s="49"/>
      <c r="N27" s="49"/>
      <c r="O27" s="49"/>
      <c r="P27" s="49"/>
      <c r="Q27" s="6"/>
    </row>
    <row r="28" spans="2:17" ht="5.55" customHeight="1" x14ac:dyDescent="0.25">
      <c r="B28" s="4"/>
      <c r="C28" s="49"/>
      <c r="D28" s="49"/>
      <c r="E28" s="49"/>
      <c r="F28" s="49"/>
      <c r="G28" s="49"/>
      <c r="H28" s="49"/>
      <c r="I28" s="49"/>
      <c r="J28" s="49"/>
      <c r="K28" s="49"/>
      <c r="L28" s="49"/>
      <c r="M28" s="49"/>
      <c r="N28" s="49"/>
      <c r="O28" s="49"/>
      <c r="P28" s="49"/>
      <c r="Q28" s="6"/>
    </row>
    <row r="29" spans="2:17" ht="15.6" x14ac:dyDescent="0.25">
      <c r="B29" s="4"/>
      <c r="C29" s="375" t="s">
        <v>69</v>
      </c>
      <c r="D29" s="375"/>
      <c r="E29" s="375"/>
      <c r="F29" s="375"/>
      <c r="G29" s="375"/>
      <c r="H29" s="375"/>
      <c r="I29" s="375"/>
      <c r="J29" s="375"/>
      <c r="K29" s="375"/>
      <c r="L29" s="375"/>
      <c r="M29" s="49"/>
      <c r="N29" s="49"/>
      <c r="O29" s="49"/>
      <c r="P29" s="49"/>
      <c r="Q29" s="6"/>
    </row>
    <row r="30" spans="2:17" ht="15.6" x14ac:dyDescent="0.25">
      <c r="B30" s="4"/>
      <c r="C30" s="142"/>
      <c r="D30" s="49"/>
      <c r="E30" s="49"/>
      <c r="F30" s="49"/>
      <c r="G30" s="49"/>
      <c r="H30" s="49"/>
      <c r="I30" s="49"/>
      <c r="J30" s="49"/>
      <c r="K30" s="49"/>
      <c r="L30" s="49"/>
      <c r="M30" s="49"/>
      <c r="N30" s="49"/>
      <c r="O30" s="49"/>
      <c r="P30" s="49"/>
      <c r="Q30" s="6"/>
    </row>
    <row r="31" spans="2:17" ht="15.6" x14ac:dyDescent="0.25">
      <c r="B31" s="4"/>
      <c r="C31" s="191"/>
      <c r="D31" s="49"/>
      <c r="E31" s="375" t="s">
        <v>70</v>
      </c>
      <c r="F31" s="375"/>
      <c r="G31" s="375"/>
      <c r="H31" s="375"/>
      <c r="I31" s="375"/>
      <c r="J31" s="375"/>
      <c r="K31" s="375"/>
      <c r="L31" s="375"/>
      <c r="M31" s="49"/>
      <c r="N31" s="49"/>
      <c r="O31" s="49"/>
      <c r="P31" s="49"/>
      <c r="Q31" s="6"/>
    </row>
    <row r="32" spans="2:17" ht="15.6" x14ac:dyDescent="0.25">
      <c r="B32" s="4"/>
      <c r="C32" s="192"/>
      <c r="D32" s="49"/>
      <c r="E32" s="375" t="s">
        <v>71</v>
      </c>
      <c r="F32" s="375"/>
      <c r="G32" s="375"/>
      <c r="H32" s="375"/>
      <c r="I32" s="375"/>
      <c r="J32" s="375"/>
      <c r="K32" s="375"/>
      <c r="L32" s="375"/>
      <c r="M32" s="49"/>
      <c r="N32" s="49"/>
      <c r="O32" s="49"/>
      <c r="P32" s="49"/>
      <c r="Q32" s="6"/>
    </row>
    <row r="33" spans="2:17" ht="15.6" x14ac:dyDescent="0.25">
      <c r="B33" s="4"/>
      <c r="C33" s="359"/>
      <c r="D33" s="49"/>
      <c r="E33" s="375" t="s">
        <v>600</v>
      </c>
      <c r="F33" s="375"/>
      <c r="G33" s="375"/>
      <c r="H33" s="375"/>
      <c r="I33" s="375"/>
      <c r="J33" s="375"/>
      <c r="K33" s="375"/>
      <c r="L33" s="375"/>
      <c r="M33" s="375"/>
      <c r="N33" s="49"/>
      <c r="O33" s="49"/>
      <c r="P33" s="49"/>
      <c r="Q33" s="6"/>
    </row>
    <row r="34" spans="2:17" ht="11.55" customHeight="1" x14ac:dyDescent="0.25">
      <c r="B34" s="4"/>
      <c r="C34" s="49"/>
      <c r="D34" s="49"/>
      <c r="E34" s="49"/>
      <c r="F34" s="49"/>
      <c r="G34" s="49"/>
      <c r="H34" s="49"/>
      <c r="I34" s="49"/>
      <c r="J34" s="49"/>
      <c r="K34" s="49"/>
      <c r="L34" s="49"/>
      <c r="M34" s="49"/>
      <c r="N34" s="49"/>
      <c r="O34" s="49"/>
      <c r="P34" s="49"/>
      <c r="Q34" s="6"/>
    </row>
    <row r="35" spans="2:17" ht="15.6" x14ac:dyDescent="0.25">
      <c r="B35" s="4"/>
      <c r="C35" s="390" t="s">
        <v>42</v>
      </c>
      <c r="D35" s="390"/>
      <c r="E35" s="38"/>
      <c r="F35" s="38"/>
      <c r="G35" s="38"/>
      <c r="H35" s="38"/>
      <c r="I35" s="38"/>
      <c r="J35" s="38"/>
      <c r="K35" s="38"/>
      <c r="L35" s="38"/>
      <c r="M35" s="38"/>
      <c r="N35" s="38"/>
      <c r="O35" s="38"/>
      <c r="P35" s="38"/>
      <c r="Q35" s="6"/>
    </row>
    <row r="36" spans="2:17" ht="13.5" customHeight="1" x14ac:dyDescent="0.25">
      <c r="B36" s="4"/>
      <c r="C36" s="146"/>
      <c r="D36" s="146"/>
      <c r="E36" s="146"/>
      <c r="F36" s="146"/>
      <c r="G36" s="146"/>
      <c r="H36" s="146"/>
      <c r="I36" s="146"/>
      <c r="J36" s="146"/>
      <c r="K36" s="146"/>
      <c r="L36" s="146"/>
      <c r="M36" s="146"/>
      <c r="N36" s="146"/>
      <c r="O36" s="146"/>
      <c r="P36" s="146"/>
      <c r="Q36" s="6"/>
    </row>
    <row r="37" spans="2:17" ht="258.45" customHeight="1" x14ac:dyDescent="0.25">
      <c r="B37" s="4"/>
      <c r="C37" s="361" t="s">
        <v>618</v>
      </c>
      <c r="D37" s="361"/>
      <c r="E37" s="361"/>
      <c r="F37" s="361"/>
      <c r="G37" s="361"/>
      <c r="H37" s="361"/>
      <c r="I37" s="361"/>
      <c r="J37" s="361"/>
      <c r="K37" s="361"/>
      <c r="L37" s="361"/>
      <c r="M37" s="361"/>
      <c r="N37" s="361"/>
      <c r="O37" s="361"/>
      <c r="P37" s="361"/>
      <c r="Q37" s="6"/>
    </row>
    <row r="38" spans="2:17" ht="15.6" x14ac:dyDescent="0.25">
      <c r="B38" s="4"/>
      <c r="C38" s="390" t="s">
        <v>16</v>
      </c>
      <c r="D38" s="390"/>
      <c r="E38" s="38"/>
      <c r="F38" s="38"/>
      <c r="G38" s="38"/>
      <c r="H38" s="38"/>
      <c r="I38" s="38"/>
      <c r="J38" s="38"/>
      <c r="K38" s="38"/>
      <c r="L38" s="38"/>
      <c r="M38" s="38"/>
      <c r="N38" s="38"/>
      <c r="O38" s="38"/>
      <c r="P38" s="38"/>
      <c r="Q38" s="6"/>
    </row>
    <row r="39" spans="2:17" ht="4.05" customHeight="1" x14ac:dyDescent="0.25">
      <c r="B39" s="4"/>
      <c r="C39" s="38"/>
      <c r="D39" s="38"/>
      <c r="E39" s="38"/>
      <c r="F39" s="38"/>
      <c r="G39" s="38"/>
      <c r="H39" s="38"/>
      <c r="I39" s="38"/>
      <c r="J39" s="38"/>
      <c r="K39" s="38"/>
      <c r="L39" s="38"/>
      <c r="M39" s="38"/>
      <c r="N39" s="38"/>
      <c r="O39" s="38"/>
      <c r="P39" s="38"/>
      <c r="Q39" s="6"/>
    </row>
    <row r="40" spans="2:17" ht="111" customHeight="1" x14ac:dyDescent="0.25">
      <c r="B40" s="4"/>
      <c r="C40" s="389" t="s">
        <v>610</v>
      </c>
      <c r="D40" s="389"/>
      <c r="E40" s="389"/>
      <c r="F40" s="389"/>
      <c r="G40" s="389"/>
      <c r="H40" s="389"/>
      <c r="I40" s="389"/>
      <c r="J40" s="389"/>
      <c r="K40" s="389"/>
      <c r="L40" s="389"/>
      <c r="M40" s="389"/>
      <c r="N40" s="389"/>
      <c r="O40" s="389"/>
      <c r="P40" s="389"/>
      <c r="Q40" s="6"/>
    </row>
    <row r="41" spans="2:17" ht="8.5500000000000007" customHeight="1" x14ac:dyDescent="0.25">
      <c r="B41" s="4"/>
      <c r="C41" s="38"/>
      <c r="D41" s="38"/>
      <c r="E41" s="38"/>
      <c r="F41" s="38"/>
      <c r="G41" s="38"/>
      <c r="H41" s="38"/>
      <c r="I41" s="38"/>
      <c r="J41" s="38"/>
      <c r="K41" s="38"/>
      <c r="L41" s="38"/>
      <c r="M41" s="38"/>
      <c r="N41" s="38"/>
      <c r="O41" s="38"/>
      <c r="P41" s="38"/>
      <c r="Q41" s="6"/>
    </row>
    <row r="42" spans="2:17" ht="15.6" x14ac:dyDescent="0.25">
      <c r="B42" s="4"/>
      <c r="C42" s="390" t="s">
        <v>29</v>
      </c>
      <c r="D42" s="390"/>
      <c r="E42" s="38"/>
      <c r="F42" s="38"/>
      <c r="G42" s="38"/>
      <c r="H42" s="38"/>
      <c r="I42" s="38"/>
      <c r="J42" s="38"/>
      <c r="K42" s="38"/>
      <c r="L42" s="38"/>
      <c r="M42" s="38"/>
      <c r="N42" s="38"/>
      <c r="O42" s="38"/>
      <c r="P42" s="38"/>
      <c r="Q42" s="6"/>
    </row>
    <row r="43" spans="2:17" ht="3" customHeight="1" x14ac:dyDescent="0.25">
      <c r="B43" s="4"/>
      <c r="C43" s="38"/>
      <c r="D43" s="38"/>
      <c r="E43" s="38"/>
      <c r="F43" s="38"/>
      <c r="G43" s="38"/>
      <c r="H43" s="38"/>
      <c r="I43" s="38"/>
      <c r="J43" s="38"/>
      <c r="K43" s="38"/>
      <c r="L43" s="38"/>
      <c r="M43" s="38"/>
      <c r="N43" s="38"/>
      <c r="O43" s="38"/>
      <c r="P43" s="38"/>
      <c r="Q43" s="6"/>
    </row>
    <row r="44" spans="2:17" ht="81.45" customHeight="1" x14ac:dyDescent="0.25">
      <c r="B44" s="4"/>
      <c r="C44" s="361" t="s">
        <v>611</v>
      </c>
      <c r="D44" s="361"/>
      <c r="E44" s="361"/>
      <c r="F44" s="361"/>
      <c r="G44" s="361"/>
      <c r="H44" s="361"/>
      <c r="I44" s="361"/>
      <c r="J44" s="361"/>
      <c r="K44" s="361"/>
      <c r="L44" s="361"/>
      <c r="M44" s="361"/>
      <c r="N44" s="361"/>
      <c r="O44" s="361"/>
      <c r="P44" s="361"/>
      <c r="Q44" s="6"/>
    </row>
    <row r="45" spans="2:17" ht="4.5" customHeight="1" x14ac:dyDescent="0.25">
      <c r="B45" s="4"/>
      <c r="C45" s="38"/>
      <c r="D45" s="38"/>
      <c r="E45" s="38"/>
      <c r="F45" s="38"/>
      <c r="G45" s="38"/>
      <c r="H45" s="38"/>
      <c r="I45" s="38"/>
      <c r="J45" s="38"/>
      <c r="K45" s="38"/>
      <c r="L45" s="38"/>
      <c r="M45" s="38"/>
      <c r="N45" s="38"/>
      <c r="O45" s="38"/>
      <c r="P45" s="38"/>
      <c r="Q45" s="6"/>
    </row>
    <row r="46" spans="2:17" ht="19.5" customHeight="1" x14ac:dyDescent="0.25">
      <c r="B46" s="4"/>
      <c r="C46" s="390" t="s">
        <v>30</v>
      </c>
      <c r="D46" s="390"/>
      <c r="E46" s="38"/>
      <c r="F46" s="38"/>
      <c r="G46" s="38"/>
      <c r="H46" s="38"/>
      <c r="I46" s="38"/>
      <c r="J46" s="38"/>
      <c r="K46" s="38"/>
      <c r="L46" s="38"/>
      <c r="M46" s="38"/>
      <c r="N46" s="38"/>
      <c r="O46" s="38"/>
      <c r="P46" s="38"/>
      <c r="Q46" s="6"/>
    </row>
    <row r="47" spans="2:17" ht="5.0999999999999996" customHeight="1" x14ac:dyDescent="0.25">
      <c r="B47" s="4"/>
      <c r="C47" s="38"/>
      <c r="D47" s="38"/>
      <c r="E47" s="38"/>
      <c r="F47" s="38"/>
      <c r="G47" s="38"/>
      <c r="H47" s="38"/>
      <c r="I47" s="38"/>
      <c r="J47" s="38"/>
      <c r="K47" s="38"/>
      <c r="L47" s="38"/>
      <c r="M47" s="38"/>
      <c r="N47" s="38"/>
      <c r="O47" s="38"/>
      <c r="P47" s="38"/>
      <c r="Q47" s="6"/>
    </row>
    <row r="48" spans="2:17" ht="57" customHeight="1" x14ac:dyDescent="0.25">
      <c r="B48" s="4"/>
      <c r="C48" s="361" t="s">
        <v>612</v>
      </c>
      <c r="D48" s="361"/>
      <c r="E48" s="361"/>
      <c r="F48" s="361"/>
      <c r="G48" s="361"/>
      <c r="H48" s="361"/>
      <c r="I48" s="361"/>
      <c r="J48" s="361"/>
      <c r="K48" s="361"/>
      <c r="L48" s="361"/>
      <c r="M48" s="361"/>
      <c r="N48" s="361"/>
      <c r="O48" s="361"/>
      <c r="P48" s="361"/>
      <c r="Q48" s="6"/>
    </row>
    <row r="49" spans="2:17" ht="5.25" customHeight="1" x14ac:dyDescent="0.25">
      <c r="B49" s="4"/>
      <c r="C49" s="38"/>
      <c r="D49" s="38"/>
      <c r="E49" s="38"/>
      <c r="F49" s="38"/>
      <c r="G49" s="38"/>
      <c r="H49" s="38"/>
      <c r="I49" s="38"/>
      <c r="J49" s="38"/>
      <c r="K49" s="38"/>
      <c r="L49" s="38"/>
      <c r="M49" s="38"/>
      <c r="N49" s="38"/>
      <c r="O49" s="38"/>
      <c r="P49" s="38"/>
      <c r="Q49" s="6"/>
    </row>
    <row r="50" spans="2:17" ht="15.6" x14ac:dyDescent="0.25">
      <c r="B50" s="4"/>
      <c r="C50" s="390" t="s">
        <v>609</v>
      </c>
      <c r="D50" s="390"/>
      <c r="E50" s="390"/>
      <c r="F50" s="390"/>
      <c r="G50" s="38"/>
      <c r="H50" s="38"/>
      <c r="I50" s="38"/>
      <c r="J50" s="38"/>
      <c r="K50" s="38"/>
      <c r="L50" s="38"/>
      <c r="M50" s="38"/>
      <c r="N50" s="38"/>
      <c r="O50" s="38"/>
      <c r="P50" s="38"/>
      <c r="Q50" s="6"/>
    </row>
    <row r="51" spans="2:17" ht="4.5" customHeight="1" x14ac:dyDescent="0.25">
      <c r="B51" s="4"/>
      <c r="C51" s="38"/>
      <c r="D51" s="38"/>
      <c r="E51" s="38"/>
      <c r="F51" s="38"/>
      <c r="G51" s="38"/>
      <c r="H51" s="38"/>
      <c r="I51" s="38"/>
      <c r="J51" s="38"/>
      <c r="K51" s="38"/>
      <c r="L51" s="38"/>
      <c r="M51" s="38"/>
      <c r="N51" s="38"/>
      <c r="O51" s="38"/>
      <c r="P51" s="38"/>
      <c r="Q51" s="6"/>
    </row>
    <row r="52" spans="2:17" ht="244.5" customHeight="1" x14ac:dyDescent="0.25">
      <c r="B52" s="4"/>
      <c r="C52" s="361" t="s">
        <v>616</v>
      </c>
      <c r="D52" s="361"/>
      <c r="E52" s="361"/>
      <c r="F52" s="361"/>
      <c r="G52" s="361"/>
      <c r="H52" s="361"/>
      <c r="I52" s="361"/>
      <c r="J52" s="361"/>
      <c r="K52" s="361"/>
      <c r="L52" s="361"/>
      <c r="M52" s="361"/>
      <c r="N52" s="361"/>
      <c r="O52" s="361"/>
      <c r="P52" s="361"/>
      <c r="Q52" s="6"/>
    </row>
    <row r="53" spans="2:17" ht="4.5" customHeight="1" x14ac:dyDescent="0.25">
      <c r="B53" s="4"/>
      <c r="C53" s="49"/>
      <c r="D53" s="49"/>
      <c r="E53" s="49"/>
      <c r="F53" s="49"/>
      <c r="G53" s="49"/>
      <c r="H53" s="49"/>
      <c r="I53" s="49"/>
      <c r="J53" s="49"/>
      <c r="K53" s="49"/>
      <c r="L53" s="49"/>
      <c r="M53" s="49"/>
      <c r="N53" s="49"/>
      <c r="O53" s="49"/>
      <c r="P53" s="49"/>
      <c r="Q53" s="6"/>
    </row>
    <row r="54" spans="2:17" ht="15.6" x14ac:dyDescent="0.25">
      <c r="B54" s="4"/>
      <c r="C54" s="390" t="s">
        <v>549</v>
      </c>
      <c r="D54" s="390"/>
      <c r="E54" s="390"/>
      <c r="F54" s="390"/>
      <c r="G54" s="49"/>
      <c r="H54" s="49"/>
      <c r="I54" s="49"/>
      <c r="J54" s="49"/>
      <c r="K54" s="49"/>
      <c r="L54" s="49"/>
      <c r="M54" s="49"/>
      <c r="N54" s="49"/>
      <c r="O54" s="49"/>
      <c r="P54" s="49"/>
      <c r="Q54" s="6"/>
    </row>
    <row r="55" spans="2:17" ht="4.5" customHeight="1" x14ac:dyDescent="0.25">
      <c r="B55" s="4"/>
      <c r="C55" s="38"/>
      <c r="D55" s="49"/>
      <c r="E55" s="49"/>
      <c r="F55" s="49"/>
      <c r="G55" s="49"/>
      <c r="H55" s="49"/>
      <c r="I55" s="49"/>
      <c r="J55" s="49"/>
      <c r="K55" s="49"/>
      <c r="L55" s="49"/>
      <c r="M55" s="49"/>
      <c r="N55" s="49"/>
      <c r="O55" s="49"/>
      <c r="P55" s="49"/>
      <c r="Q55" s="6"/>
    </row>
    <row r="56" spans="2:17" ht="40.5" customHeight="1" x14ac:dyDescent="0.25">
      <c r="B56" s="4"/>
      <c r="C56" s="361" t="s">
        <v>614</v>
      </c>
      <c r="D56" s="361"/>
      <c r="E56" s="361"/>
      <c r="F56" s="361"/>
      <c r="G56" s="361"/>
      <c r="H56" s="361"/>
      <c r="I56" s="361"/>
      <c r="J56" s="361"/>
      <c r="K56" s="361"/>
      <c r="L56" s="361"/>
      <c r="M56" s="361"/>
      <c r="N56" s="361"/>
      <c r="O56" s="361"/>
      <c r="P56" s="361"/>
      <c r="Q56" s="6"/>
    </row>
    <row r="57" spans="2:17" ht="19.05" customHeight="1" x14ac:dyDescent="0.25">
      <c r="B57" s="4"/>
      <c r="C57" s="390" t="s">
        <v>550</v>
      </c>
      <c r="D57" s="390"/>
      <c r="E57" s="390"/>
      <c r="F57" s="390"/>
      <c r="G57" s="49"/>
      <c r="H57" s="49"/>
      <c r="I57" s="49"/>
      <c r="J57" s="49"/>
      <c r="K57" s="49"/>
      <c r="L57" s="49"/>
      <c r="M57" s="49"/>
      <c r="N57" s="49"/>
      <c r="O57" s="49"/>
      <c r="P57" s="49"/>
      <c r="Q57" s="6"/>
    </row>
    <row r="58" spans="2:17" ht="3" customHeight="1" x14ac:dyDescent="0.25">
      <c r="B58" s="4"/>
      <c r="C58" s="38"/>
      <c r="D58" s="49"/>
      <c r="E58" s="49"/>
      <c r="F58" s="49"/>
      <c r="G58" s="49"/>
      <c r="H58" s="49"/>
      <c r="I58" s="49"/>
      <c r="J58" s="49"/>
      <c r="K58" s="49"/>
      <c r="L58" s="49"/>
      <c r="M58" s="49"/>
      <c r="N58" s="49"/>
      <c r="O58" s="49"/>
      <c r="P58" s="49"/>
      <c r="Q58" s="6"/>
    </row>
    <row r="59" spans="2:17" ht="33.450000000000003" customHeight="1" x14ac:dyDescent="0.25">
      <c r="B59" s="4"/>
      <c r="C59" s="361" t="s">
        <v>613</v>
      </c>
      <c r="D59" s="361"/>
      <c r="E59" s="361"/>
      <c r="F59" s="361"/>
      <c r="G59" s="361"/>
      <c r="H59" s="361"/>
      <c r="I59" s="361"/>
      <c r="J59" s="361"/>
      <c r="K59" s="361"/>
      <c r="L59" s="361"/>
      <c r="M59" s="361"/>
      <c r="N59" s="361"/>
      <c r="O59" s="361"/>
      <c r="P59" s="361"/>
      <c r="Q59" s="6"/>
    </row>
    <row r="60" spans="2:17" ht="7.05" customHeight="1" x14ac:dyDescent="0.25">
      <c r="B60" s="4"/>
      <c r="C60" s="49"/>
      <c r="D60" s="49"/>
      <c r="E60" s="49"/>
      <c r="F60" s="49"/>
      <c r="G60" s="49"/>
      <c r="H60" s="49"/>
      <c r="I60" s="49"/>
      <c r="J60" s="49"/>
      <c r="K60" s="49"/>
      <c r="L60" s="49"/>
      <c r="M60" s="49"/>
      <c r="N60" s="49"/>
      <c r="O60" s="49"/>
      <c r="P60" s="49"/>
      <c r="Q60" s="6"/>
    </row>
    <row r="61" spans="2:17" ht="15.6" x14ac:dyDescent="0.25">
      <c r="B61" s="4"/>
      <c r="C61" s="390" t="s">
        <v>583</v>
      </c>
      <c r="D61" s="390"/>
      <c r="E61" s="390"/>
      <c r="F61" s="390"/>
      <c r="G61" s="49"/>
      <c r="H61" s="49"/>
      <c r="I61" s="49"/>
      <c r="J61" s="49"/>
      <c r="K61" s="49"/>
      <c r="L61" s="49"/>
      <c r="M61" s="49"/>
      <c r="N61" s="49"/>
      <c r="O61" s="49"/>
      <c r="P61" s="49"/>
      <c r="Q61" s="6"/>
    </row>
    <row r="62" spans="2:17" ht="5.0999999999999996" customHeight="1" x14ac:dyDescent="0.25">
      <c r="B62" s="4"/>
      <c r="C62" s="49"/>
      <c r="D62" s="49"/>
      <c r="E62" s="49"/>
      <c r="F62" s="49"/>
      <c r="G62" s="49"/>
      <c r="H62" s="49"/>
      <c r="I62" s="49"/>
      <c r="J62" s="49"/>
      <c r="K62" s="49"/>
      <c r="L62" s="49"/>
      <c r="M62" s="49"/>
      <c r="N62" s="49"/>
      <c r="O62" s="49"/>
      <c r="P62" s="49"/>
      <c r="Q62" s="6"/>
    </row>
    <row r="63" spans="2:17" ht="28.5" customHeight="1" x14ac:dyDescent="0.25">
      <c r="B63" s="4"/>
      <c r="C63" s="361" t="s">
        <v>615</v>
      </c>
      <c r="D63" s="361"/>
      <c r="E63" s="361"/>
      <c r="F63" s="361"/>
      <c r="G63" s="361"/>
      <c r="H63" s="361"/>
      <c r="I63" s="361"/>
      <c r="J63" s="361"/>
      <c r="K63" s="361"/>
      <c r="L63" s="361"/>
      <c r="M63" s="361"/>
      <c r="N63" s="361"/>
      <c r="O63" s="361"/>
      <c r="P63" s="361"/>
      <c r="Q63" s="6"/>
    </row>
    <row r="64" spans="2:17" ht="9.6" customHeight="1" x14ac:dyDescent="0.25">
      <c r="B64" s="4"/>
      <c r="C64" s="49"/>
      <c r="D64" s="49"/>
      <c r="E64" s="49"/>
      <c r="F64" s="49"/>
      <c r="G64" s="49"/>
      <c r="H64" s="49"/>
      <c r="I64" s="49"/>
      <c r="J64" s="49"/>
      <c r="K64" s="49"/>
      <c r="L64" s="49"/>
      <c r="M64" s="49"/>
      <c r="N64" s="49"/>
      <c r="O64" s="49"/>
      <c r="P64" s="49"/>
      <c r="Q64" s="6"/>
    </row>
    <row r="65" spans="2:17" ht="9.6" customHeight="1" x14ac:dyDescent="0.25">
      <c r="B65" s="4"/>
      <c r="C65" s="377" t="s">
        <v>121</v>
      </c>
      <c r="D65" s="377"/>
      <c r="E65" s="377"/>
      <c r="F65" s="49"/>
      <c r="G65" s="49"/>
      <c r="H65" s="49"/>
      <c r="I65" s="49"/>
      <c r="J65" s="49"/>
      <c r="K65" s="49"/>
      <c r="L65" s="49"/>
      <c r="M65" s="49"/>
      <c r="N65" s="49"/>
      <c r="O65" s="49"/>
      <c r="P65" s="49"/>
      <c r="Q65" s="6"/>
    </row>
    <row r="66" spans="2:17" ht="15.6" x14ac:dyDescent="0.25">
      <c r="B66" s="4"/>
      <c r="C66" s="375" t="s">
        <v>131</v>
      </c>
      <c r="D66" s="375"/>
      <c r="E66" s="375"/>
      <c r="F66" s="375"/>
      <c r="G66" s="375"/>
      <c r="H66" s="375"/>
      <c r="I66" s="375"/>
      <c r="J66" s="375"/>
      <c r="K66" s="375"/>
      <c r="L66" s="375"/>
      <c r="M66" s="375"/>
      <c r="N66" s="142"/>
      <c r="O66" s="142"/>
      <c r="P66" s="142"/>
      <c r="Q66" s="6"/>
    </row>
    <row r="67" spans="2:17" ht="15.6" x14ac:dyDescent="0.25">
      <c r="B67" s="4"/>
      <c r="C67" s="49"/>
      <c r="D67" s="49"/>
      <c r="E67" s="49"/>
      <c r="F67" s="49"/>
      <c r="G67" s="49"/>
      <c r="H67" s="49"/>
      <c r="I67" s="49"/>
      <c r="J67" s="49"/>
      <c r="K67" s="49"/>
      <c r="L67" s="49"/>
      <c r="M67" s="49"/>
      <c r="N67" s="49"/>
      <c r="O67" s="49"/>
      <c r="P67" s="49"/>
      <c r="Q67" s="6"/>
    </row>
    <row r="68" spans="2:17" ht="15.6" x14ac:dyDescent="0.25">
      <c r="B68" s="4"/>
      <c r="C68" s="370" t="s">
        <v>74</v>
      </c>
      <c r="D68" s="370"/>
      <c r="E68" s="370"/>
      <c r="F68" s="370"/>
      <c r="G68" s="370" t="s">
        <v>123</v>
      </c>
      <c r="H68" s="370"/>
      <c r="I68" s="370"/>
      <c r="J68" s="370"/>
      <c r="K68" s="370"/>
      <c r="L68" s="370"/>
      <c r="M68" s="370"/>
      <c r="N68" s="370"/>
      <c r="O68" s="370"/>
      <c r="P68" s="370"/>
      <c r="Q68" s="6"/>
    </row>
    <row r="69" spans="2:17" ht="47.55" customHeight="1" x14ac:dyDescent="0.25">
      <c r="B69" s="4"/>
      <c r="C69" s="372" t="s">
        <v>559</v>
      </c>
      <c r="D69" s="372"/>
      <c r="E69" s="372"/>
      <c r="F69" s="372"/>
      <c r="G69" s="373" t="s">
        <v>563</v>
      </c>
      <c r="H69" s="373"/>
      <c r="I69" s="373"/>
      <c r="J69" s="373"/>
      <c r="K69" s="373"/>
      <c r="L69" s="373"/>
      <c r="M69" s="373"/>
      <c r="N69" s="373"/>
      <c r="O69" s="373"/>
      <c r="P69" s="373"/>
      <c r="Q69" s="6"/>
    </row>
    <row r="70" spans="2:17" ht="33" customHeight="1" x14ac:dyDescent="0.25">
      <c r="B70" s="4"/>
      <c r="C70" s="381" t="s">
        <v>560</v>
      </c>
      <c r="D70" s="382"/>
      <c r="E70" s="382"/>
      <c r="F70" s="383"/>
      <c r="G70" s="413" t="s">
        <v>564</v>
      </c>
      <c r="H70" s="414"/>
      <c r="I70" s="414"/>
      <c r="J70" s="414"/>
      <c r="K70" s="414"/>
      <c r="L70" s="414"/>
      <c r="M70" s="414"/>
      <c r="N70" s="414"/>
      <c r="O70" s="414"/>
      <c r="P70" s="415"/>
      <c r="Q70" s="6"/>
    </row>
    <row r="71" spans="2:17" ht="29.55" customHeight="1" x14ac:dyDescent="0.25">
      <c r="B71" s="4"/>
      <c r="C71" s="381" t="s">
        <v>561</v>
      </c>
      <c r="D71" s="382"/>
      <c r="E71" s="382"/>
      <c r="F71" s="383"/>
      <c r="G71" s="413" t="s">
        <v>565</v>
      </c>
      <c r="H71" s="414"/>
      <c r="I71" s="414"/>
      <c r="J71" s="414"/>
      <c r="K71" s="414"/>
      <c r="L71" s="414"/>
      <c r="M71" s="414"/>
      <c r="N71" s="414"/>
      <c r="O71" s="414"/>
      <c r="P71" s="415"/>
      <c r="Q71" s="6"/>
    </row>
    <row r="72" spans="2:17" ht="81.599999999999994" customHeight="1" x14ac:dyDescent="0.25">
      <c r="B72" s="4"/>
      <c r="C72" s="381" t="s">
        <v>439</v>
      </c>
      <c r="D72" s="382"/>
      <c r="E72" s="382"/>
      <c r="F72" s="383"/>
      <c r="G72" s="413" t="s">
        <v>443</v>
      </c>
      <c r="H72" s="414"/>
      <c r="I72" s="414"/>
      <c r="J72" s="414"/>
      <c r="K72" s="414"/>
      <c r="L72" s="414"/>
      <c r="M72" s="414"/>
      <c r="N72" s="414"/>
      <c r="O72" s="414"/>
      <c r="P72" s="415"/>
      <c r="Q72" s="6"/>
    </row>
    <row r="73" spans="2:17" ht="26.55" customHeight="1" x14ac:dyDescent="0.25">
      <c r="B73" s="4"/>
      <c r="C73" s="381" t="s">
        <v>440</v>
      </c>
      <c r="D73" s="382"/>
      <c r="E73" s="382"/>
      <c r="F73" s="383"/>
      <c r="G73" s="413" t="s">
        <v>451</v>
      </c>
      <c r="H73" s="414"/>
      <c r="I73" s="414"/>
      <c r="J73" s="414"/>
      <c r="K73" s="414"/>
      <c r="L73" s="414"/>
      <c r="M73" s="414"/>
      <c r="N73" s="414"/>
      <c r="O73" s="414"/>
      <c r="P73" s="415"/>
      <c r="Q73" s="6"/>
    </row>
    <row r="74" spans="2:17" ht="28.05" customHeight="1" x14ac:dyDescent="0.25">
      <c r="B74" s="4"/>
      <c r="C74" s="378" t="s">
        <v>235</v>
      </c>
      <c r="D74" s="379"/>
      <c r="E74" s="379"/>
      <c r="F74" s="380"/>
      <c r="G74" s="369" t="s">
        <v>236</v>
      </c>
      <c r="H74" s="369"/>
      <c r="I74" s="369"/>
      <c r="J74" s="369"/>
      <c r="K74" s="369"/>
      <c r="L74" s="369"/>
      <c r="M74" s="369"/>
      <c r="N74" s="369"/>
      <c r="O74" s="369"/>
      <c r="P74" s="369"/>
      <c r="Q74" s="6"/>
    </row>
    <row r="75" spans="2:17" ht="15.75" customHeight="1" x14ac:dyDescent="0.25">
      <c r="B75" s="4"/>
      <c r="C75" s="372" t="s">
        <v>23</v>
      </c>
      <c r="D75" s="372"/>
      <c r="E75" s="372"/>
      <c r="F75" s="372"/>
      <c r="G75" s="372" t="s">
        <v>125</v>
      </c>
      <c r="H75" s="372"/>
      <c r="I75" s="372"/>
      <c r="J75" s="372"/>
      <c r="K75" s="372"/>
      <c r="L75" s="372"/>
      <c r="M75" s="372"/>
      <c r="N75" s="372"/>
      <c r="O75" s="372"/>
      <c r="P75" s="372"/>
      <c r="Q75" s="6"/>
    </row>
    <row r="76" spans="2:17" ht="28.5" customHeight="1" x14ac:dyDescent="0.25">
      <c r="B76" s="4"/>
      <c r="C76" s="381" t="s">
        <v>380</v>
      </c>
      <c r="D76" s="382"/>
      <c r="E76" s="382"/>
      <c r="F76" s="383"/>
      <c r="G76" s="373" t="s">
        <v>444</v>
      </c>
      <c r="H76" s="373"/>
      <c r="I76" s="373"/>
      <c r="J76" s="373"/>
      <c r="K76" s="373"/>
      <c r="L76" s="373"/>
      <c r="M76" s="373"/>
      <c r="N76" s="373"/>
      <c r="O76" s="373"/>
      <c r="P76" s="373"/>
      <c r="Q76" s="6"/>
    </row>
    <row r="77" spans="2:17" ht="28.5" customHeight="1" x14ac:dyDescent="0.25">
      <c r="B77" s="4"/>
      <c r="C77" s="372" t="s">
        <v>22</v>
      </c>
      <c r="D77" s="372"/>
      <c r="E77" s="372"/>
      <c r="F77" s="372"/>
      <c r="G77" s="373" t="s">
        <v>445</v>
      </c>
      <c r="H77" s="373"/>
      <c r="I77" s="373"/>
      <c r="J77" s="373"/>
      <c r="K77" s="373"/>
      <c r="L77" s="373"/>
      <c r="M77" s="373"/>
      <c r="N77" s="373"/>
      <c r="O77" s="373"/>
      <c r="P77" s="373"/>
      <c r="Q77" s="6"/>
    </row>
    <row r="78" spans="2:17" ht="16.5" customHeight="1" x14ac:dyDescent="0.25">
      <c r="B78" s="4"/>
      <c r="C78" s="372" t="s">
        <v>76</v>
      </c>
      <c r="D78" s="372"/>
      <c r="E78" s="372"/>
      <c r="F78" s="372"/>
      <c r="G78" s="372" t="s">
        <v>126</v>
      </c>
      <c r="H78" s="372"/>
      <c r="I78" s="372"/>
      <c r="J78" s="372"/>
      <c r="K78" s="372"/>
      <c r="L78" s="372"/>
      <c r="M78" s="372"/>
      <c r="N78" s="372"/>
      <c r="O78" s="372"/>
      <c r="P78" s="372"/>
      <c r="Q78" s="6"/>
    </row>
    <row r="79" spans="2:17" ht="32.549999999999997" customHeight="1" x14ac:dyDescent="0.25">
      <c r="B79" s="4"/>
      <c r="C79" s="381" t="s">
        <v>441</v>
      </c>
      <c r="D79" s="382"/>
      <c r="E79" s="382"/>
      <c r="F79" s="383"/>
      <c r="G79" s="373" t="s">
        <v>442</v>
      </c>
      <c r="H79" s="373"/>
      <c r="I79" s="373"/>
      <c r="J79" s="373"/>
      <c r="K79" s="373"/>
      <c r="L79" s="373"/>
      <c r="M79" s="373"/>
      <c r="N79" s="373"/>
      <c r="O79" s="373"/>
      <c r="P79" s="373"/>
      <c r="Q79" s="6"/>
    </row>
    <row r="80" spans="2:17" ht="39.6" customHeight="1" x14ac:dyDescent="0.25">
      <c r="B80" s="4"/>
      <c r="C80" s="372" t="s">
        <v>246</v>
      </c>
      <c r="D80" s="372"/>
      <c r="E80" s="372"/>
      <c r="F80" s="372"/>
      <c r="G80" s="373" t="s">
        <v>238</v>
      </c>
      <c r="H80" s="373"/>
      <c r="I80" s="373"/>
      <c r="J80" s="373"/>
      <c r="K80" s="373"/>
      <c r="L80" s="373"/>
      <c r="M80" s="373"/>
      <c r="N80" s="373"/>
      <c r="O80" s="373"/>
      <c r="P80" s="373"/>
      <c r="Q80" s="6"/>
    </row>
    <row r="81" spans="2:17" ht="41.55" customHeight="1" x14ac:dyDescent="0.25">
      <c r="B81" s="4"/>
      <c r="C81" s="372" t="s">
        <v>388</v>
      </c>
      <c r="D81" s="372"/>
      <c r="E81" s="372"/>
      <c r="F81" s="372"/>
      <c r="G81" s="373" t="s">
        <v>446</v>
      </c>
      <c r="H81" s="373"/>
      <c r="I81" s="373"/>
      <c r="J81" s="373"/>
      <c r="K81" s="373"/>
      <c r="L81" s="373"/>
      <c r="M81" s="373"/>
      <c r="N81" s="373"/>
      <c r="O81" s="373"/>
      <c r="P81" s="373"/>
      <c r="Q81" s="6"/>
    </row>
    <row r="82" spans="2:17" ht="17.100000000000001" customHeight="1" x14ac:dyDescent="0.25">
      <c r="B82" s="4"/>
      <c r="C82" s="372" t="s">
        <v>124</v>
      </c>
      <c r="D82" s="372"/>
      <c r="E82" s="372"/>
      <c r="F82" s="372"/>
      <c r="G82" s="372" t="s">
        <v>127</v>
      </c>
      <c r="H82" s="372"/>
      <c r="I82" s="372"/>
      <c r="J82" s="372"/>
      <c r="K82" s="372"/>
      <c r="L82" s="372"/>
      <c r="M82" s="372"/>
      <c r="N82" s="372"/>
      <c r="O82" s="372"/>
      <c r="P82" s="372"/>
      <c r="Q82" s="6"/>
    </row>
    <row r="83" spans="2:17" ht="20.100000000000001" customHeight="1" x14ac:dyDescent="0.25">
      <c r="B83" s="4"/>
      <c r="C83" s="372" t="s">
        <v>90</v>
      </c>
      <c r="D83" s="372"/>
      <c r="E83" s="372"/>
      <c r="F83" s="372"/>
      <c r="G83" s="373" t="s">
        <v>447</v>
      </c>
      <c r="H83" s="372"/>
      <c r="I83" s="372"/>
      <c r="J83" s="372"/>
      <c r="K83" s="372"/>
      <c r="L83" s="372"/>
      <c r="M83" s="372"/>
      <c r="N83" s="372"/>
      <c r="O83" s="372"/>
      <c r="P83" s="372"/>
      <c r="Q83" s="6"/>
    </row>
    <row r="84" spans="2:17" ht="28.5" customHeight="1" x14ac:dyDescent="0.25">
      <c r="B84" s="4"/>
      <c r="C84" s="381" t="s">
        <v>394</v>
      </c>
      <c r="D84" s="382"/>
      <c r="E84" s="382"/>
      <c r="F84" s="383"/>
      <c r="G84" s="373" t="s">
        <v>448</v>
      </c>
      <c r="H84" s="373"/>
      <c r="I84" s="373"/>
      <c r="J84" s="373"/>
      <c r="K84" s="373"/>
      <c r="L84" s="373"/>
      <c r="M84" s="373"/>
      <c r="N84" s="373"/>
      <c r="O84" s="373"/>
      <c r="P84" s="373"/>
      <c r="Q84" s="6"/>
    </row>
    <row r="85" spans="2:17" ht="28.5" customHeight="1" x14ac:dyDescent="0.25">
      <c r="B85" s="4"/>
      <c r="C85" s="378" t="s">
        <v>34</v>
      </c>
      <c r="D85" s="379"/>
      <c r="E85" s="379"/>
      <c r="F85" s="380"/>
      <c r="G85" s="369" t="s">
        <v>240</v>
      </c>
      <c r="H85" s="369"/>
      <c r="I85" s="369"/>
      <c r="J85" s="369"/>
      <c r="K85" s="369"/>
      <c r="L85" s="369"/>
      <c r="M85" s="369"/>
      <c r="N85" s="369"/>
      <c r="O85" s="369"/>
      <c r="P85" s="369"/>
      <c r="Q85" s="6"/>
    </row>
    <row r="86" spans="2:17" ht="28.5" customHeight="1" x14ac:dyDescent="0.25">
      <c r="B86" s="4"/>
      <c r="C86" s="378" t="s">
        <v>230</v>
      </c>
      <c r="D86" s="379"/>
      <c r="E86" s="379"/>
      <c r="F86" s="380"/>
      <c r="G86" s="369" t="s">
        <v>449</v>
      </c>
      <c r="H86" s="369"/>
      <c r="I86" s="369"/>
      <c r="J86" s="369"/>
      <c r="K86" s="369"/>
      <c r="L86" s="369"/>
      <c r="M86" s="369"/>
      <c r="N86" s="369"/>
      <c r="O86" s="369"/>
      <c r="P86" s="369"/>
      <c r="Q86" s="6"/>
    </row>
    <row r="87" spans="2:17" ht="16.5" customHeight="1" x14ac:dyDescent="0.25">
      <c r="B87" s="4"/>
      <c r="C87" s="378" t="s">
        <v>393</v>
      </c>
      <c r="D87" s="379"/>
      <c r="E87" s="379"/>
      <c r="F87" s="380"/>
      <c r="G87" s="391" t="s">
        <v>450</v>
      </c>
      <c r="H87" s="392"/>
      <c r="I87" s="392"/>
      <c r="J87" s="392"/>
      <c r="K87" s="392"/>
      <c r="L87" s="392"/>
      <c r="M87" s="392"/>
      <c r="N87" s="392"/>
      <c r="O87" s="392"/>
      <c r="P87" s="393"/>
      <c r="Q87" s="6"/>
    </row>
    <row r="88" spans="2:17" ht="15" customHeight="1" x14ac:dyDescent="0.25">
      <c r="B88" s="4"/>
      <c r="C88" s="378" t="s">
        <v>72</v>
      </c>
      <c r="D88" s="379"/>
      <c r="E88" s="379"/>
      <c r="F88" s="380"/>
      <c r="G88" s="369" t="s">
        <v>239</v>
      </c>
      <c r="H88" s="369"/>
      <c r="I88" s="369"/>
      <c r="J88" s="369"/>
      <c r="K88" s="369"/>
      <c r="L88" s="369"/>
      <c r="M88" s="369"/>
      <c r="N88" s="369"/>
      <c r="O88" s="369"/>
      <c r="P88" s="369"/>
      <c r="Q88" s="6"/>
    </row>
    <row r="89" spans="2:17" ht="14.1" customHeight="1" x14ac:dyDescent="0.25">
      <c r="B89" s="4"/>
      <c r="C89" s="374" t="s">
        <v>73</v>
      </c>
      <c r="D89" s="374"/>
      <c r="E89" s="374"/>
      <c r="F89" s="374"/>
      <c r="G89" s="369" t="s">
        <v>237</v>
      </c>
      <c r="H89" s="369"/>
      <c r="I89" s="369"/>
      <c r="J89" s="369"/>
      <c r="K89" s="369"/>
      <c r="L89" s="369"/>
      <c r="M89" s="369"/>
      <c r="N89" s="369"/>
      <c r="O89" s="369"/>
      <c r="P89" s="369"/>
      <c r="Q89" s="6"/>
    </row>
    <row r="90" spans="2:17" ht="15.6" x14ac:dyDescent="0.25">
      <c r="B90" s="4"/>
      <c r="C90" s="49"/>
      <c r="D90" s="49"/>
      <c r="E90" s="49"/>
      <c r="F90" s="49"/>
      <c r="G90" s="49"/>
      <c r="H90" s="49"/>
      <c r="I90" s="49"/>
      <c r="J90" s="49"/>
      <c r="K90" s="49"/>
      <c r="L90" s="49"/>
      <c r="M90" s="49"/>
      <c r="N90" s="49"/>
      <c r="O90" s="49"/>
      <c r="P90" s="49"/>
      <c r="Q90" s="6"/>
    </row>
    <row r="91" spans="2:17" ht="15.6" x14ac:dyDescent="0.25">
      <c r="B91" s="4"/>
      <c r="C91" s="377" t="s">
        <v>519</v>
      </c>
      <c r="D91" s="377"/>
      <c r="E91" s="377"/>
      <c r="F91" s="377"/>
      <c r="G91" s="49"/>
      <c r="H91" s="49"/>
      <c r="I91" s="49"/>
      <c r="J91" s="49"/>
      <c r="K91" s="49"/>
      <c r="L91" s="49"/>
      <c r="M91" s="49"/>
      <c r="N91" s="49"/>
      <c r="O91" s="49"/>
      <c r="P91" s="49"/>
      <c r="Q91" s="6"/>
    </row>
    <row r="92" spans="2:17" ht="18.600000000000001" customHeight="1" x14ac:dyDescent="0.25">
      <c r="B92" s="4"/>
      <c r="C92" s="375" t="s">
        <v>566</v>
      </c>
      <c r="D92" s="375"/>
      <c r="E92" s="375"/>
      <c r="F92" s="375"/>
      <c r="G92" s="375"/>
      <c r="H92" s="375"/>
      <c r="I92" s="375"/>
      <c r="J92" s="375"/>
      <c r="K92" s="49"/>
      <c r="L92" s="49"/>
      <c r="M92" s="49"/>
      <c r="N92" s="49"/>
      <c r="O92" s="49"/>
      <c r="P92" s="49"/>
      <c r="Q92" s="6"/>
    </row>
    <row r="93" spans="2:17" ht="12.6" customHeight="1" x14ac:dyDescent="0.25">
      <c r="B93" s="4"/>
      <c r="C93" s="361" t="s">
        <v>601</v>
      </c>
      <c r="D93" s="361"/>
      <c r="E93" s="361"/>
      <c r="F93" s="361"/>
      <c r="G93" s="361"/>
      <c r="H93" s="361"/>
      <c r="I93" s="361"/>
      <c r="J93" s="361"/>
      <c r="K93" s="361"/>
      <c r="L93" s="361"/>
      <c r="M93" s="361"/>
      <c r="N93" s="361"/>
      <c r="O93" s="361"/>
      <c r="P93" s="361"/>
      <c r="Q93" s="6"/>
    </row>
    <row r="94" spans="2:17" ht="14.1" customHeight="1" x14ac:dyDescent="0.25">
      <c r="B94" s="4"/>
      <c r="C94" s="361"/>
      <c r="D94" s="361"/>
      <c r="E94" s="361"/>
      <c r="F94" s="361"/>
      <c r="G94" s="361"/>
      <c r="H94" s="361"/>
      <c r="I94" s="361"/>
      <c r="J94" s="361"/>
      <c r="K94" s="361"/>
      <c r="L94" s="361"/>
      <c r="M94" s="361"/>
      <c r="N94" s="361"/>
      <c r="O94" s="361"/>
      <c r="P94" s="361"/>
      <c r="Q94" s="6"/>
    </row>
    <row r="95" spans="2:17" ht="76.5" customHeight="1" x14ac:dyDescent="0.25">
      <c r="B95" s="4"/>
      <c r="C95" s="361"/>
      <c r="D95" s="361"/>
      <c r="E95" s="361"/>
      <c r="F95" s="361"/>
      <c r="G95" s="361"/>
      <c r="H95" s="361"/>
      <c r="I95" s="361"/>
      <c r="J95" s="361"/>
      <c r="K95" s="361"/>
      <c r="L95" s="361"/>
      <c r="M95" s="361"/>
      <c r="N95" s="361"/>
      <c r="O95" s="361"/>
      <c r="P95" s="361"/>
      <c r="Q95" s="6"/>
    </row>
    <row r="96" spans="2:17" ht="6" customHeight="1" x14ac:dyDescent="0.25">
      <c r="B96" s="4"/>
      <c r="C96" s="143"/>
      <c r="D96" s="143"/>
      <c r="E96" s="143"/>
      <c r="F96" s="143"/>
      <c r="G96" s="143"/>
      <c r="H96" s="143"/>
      <c r="I96" s="143"/>
      <c r="J96" s="143"/>
      <c r="K96" s="143"/>
      <c r="L96" s="143"/>
      <c r="M96" s="143"/>
      <c r="N96" s="143"/>
      <c r="O96" s="143"/>
      <c r="P96" s="143"/>
      <c r="Q96" s="6"/>
    </row>
    <row r="97" spans="2:17" ht="60.6" customHeight="1" x14ac:dyDescent="0.25">
      <c r="B97" s="4"/>
      <c r="C97" s="376" t="s">
        <v>518</v>
      </c>
      <c r="D97" s="376"/>
      <c r="E97" s="376"/>
      <c r="F97" s="376"/>
      <c r="G97" s="193" t="s">
        <v>482</v>
      </c>
      <c r="H97" s="193" t="s">
        <v>483</v>
      </c>
      <c r="I97" s="193" t="s">
        <v>528</v>
      </c>
      <c r="J97" s="193" t="s">
        <v>529</v>
      </c>
      <c r="K97" s="143"/>
      <c r="L97" s="143"/>
      <c r="M97" s="143"/>
      <c r="N97" s="143"/>
      <c r="O97" s="143"/>
      <c r="P97" s="143"/>
      <c r="Q97" s="6"/>
    </row>
    <row r="98" spans="2:17" ht="29.1" customHeight="1" x14ac:dyDescent="0.25">
      <c r="B98" s="4"/>
      <c r="C98" s="365" t="s">
        <v>266</v>
      </c>
      <c r="D98" s="366" t="s">
        <v>266</v>
      </c>
      <c r="E98" s="366" t="s">
        <v>266</v>
      </c>
      <c r="F98" s="367" t="s">
        <v>266</v>
      </c>
      <c r="G98" s="194">
        <v>2</v>
      </c>
      <c r="H98" s="194">
        <v>2</v>
      </c>
      <c r="I98" s="194">
        <v>2</v>
      </c>
      <c r="J98" s="194">
        <v>25</v>
      </c>
      <c r="K98" s="143"/>
      <c r="L98" s="143"/>
      <c r="M98" s="143"/>
      <c r="N98" s="143"/>
      <c r="O98" s="143"/>
      <c r="P98" s="143"/>
      <c r="Q98" s="6"/>
    </row>
    <row r="99" spans="2:17" ht="20.100000000000001" customHeight="1" x14ac:dyDescent="0.25">
      <c r="B99" s="4"/>
      <c r="C99" s="362" t="s">
        <v>267</v>
      </c>
      <c r="D99" s="363" t="s">
        <v>267</v>
      </c>
      <c r="E99" s="363" t="s">
        <v>267</v>
      </c>
      <c r="F99" s="364" t="s">
        <v>267</v>
      </c>
      <c r="G99" s="195">
        <v>6</v>
      </c>
      <c r="H99" s="195">
        <v>6</v>
      </c>
      <c r="I99" s="195">
        <v>6</v>
      </c>
      <c r="J99" s="354">
        <v>25</v>
      </c>
      <c r="K99" s="143"/>
      <c r="L99" s="143"/>
      <c r="M99" s="143"/>
      <c r="N99" s="143"/>
      <c r="O99" s="143"/>
      <c r="P99" s="143"/>
      <c r="Q99" s="6"/>
    </row>
    <row r="100" spans="2:17" ht="16.05" customHeight="1" x14ac:dyDescent="0.25">
      <c r="B100" s="4"/>
      <c r="C100" s="362" t="s">
        <v>268</v>
      </c>
      <c r="D100" s="363" t="s">
        <v>268</v>
      </c>
      <c r="E100" s="363" t="s">
        <v>268</v>
      </c>
      <c r="F100" s="364" t="s">
        <v>268</v>
      </c>
      <c r="G100" s="195">
        <v>6</v>
      </c>
      <c r="H100" s="195">
        <v>6</v>
      </c>
      <c r="I100" s="195">
        <v>6</v>
      </c>
      <c r="J100" s="354">
        <v>25</v>
      </c>
      <c r="K100" s="143"/>
      <c r="L100" s="143"/>
      <c r="M100" s="143"/>
      <c r="N100" s="143"/>
      <c r="O100" s="143"/>
      <c r="P100" s="143"/>
      <c r="Q100" s="6"/>
    </row>
    <row r="101" spans="2:17" ht="19.05" customHeight="1" x14ac:dyDescent="0.25">
      <c r="B101" s="4"/>
      <c r="C101" s="365" t="s">
        <v>269</v>
      </c>
      <c r="D101" s="366" t="s">
        <v>269</v>
      </c>
      <c r="E101" s="366" t="s">
        <v>269</v>
      </c>
      <c r="F101" s="367" t="s">
        <v>269</v>
      </c>
      <c r="G101" s="194">
        <v>1</v>
      </c>
      <c r="H101" s="194">
        <v>0.6</v>
      </c>
      <c r="I101" s="194">
        <v>0.25</v>
      </c>
      <c r="J101" s="194">
        <v>10</v>
      </c>
      <c r="K101" s="143"/>
      <c r="L101" s="143"/>
      <c r="M101" s="143"/>
      <c r="N101" s="143"/>
      <c r="O101" s="143"/>
      <c r="P101" s="143"/>
      <c r="Q101" s="6"/>
    </row>
    <row r="102" spans="2:17" ht="12.6" customHeight="1" x14ac:dyDescent="0.25">
      <c r="B102" s="4"/>
      <c r="C102" s="362" t="s">
        <v>270</v>
      </c>
      <c r="D102" s="363" t="s">
        <v>270</v>
      </c>
      <c r="E102" s="363" t="s">
        <v>270</v>
      </c>
      <c r="F102" s="364" t="s">
        <v>270</v>
      </c>
      <c r="G102" s="195">
        <v>6</v>
      </c>
      <c r="H102" s="195">
        <v>6</v>
      </c>
      <c r="I102" s="195">
        <v>6</v>
      </c>
      <c r="J102" s="354">
        <v>25</v>
      </c>
      <c r="K102" s="143"/>
      <c r="L102" s="143"/>
      <c r="M102" s="143"/>
      <c r="N102" s="143"/>
      <c r="O102" s="143"/>
      <c r="P102" s="143"/>
      <c r="Q102" s="6"/>
    </row>
    <row r="103" spans="2:17" ht="30" customHeight="1" x14ac:dyDescent="0.25">
      <c r="B103" s="4"/>
      <c r="C103" s="362" t="s">
        <v>271</v>
      </c>
      <c r="D103" s="363" t="s">
        <v>271</v>
      </c>
      <c r="E103" s="363" t="s">
        <v>271</v>
      </c>
      <c r="F103" s="364" t="s">
        <v>271</v>
      </c>
      <c r="G103" s="195">
        <v>6</v>
      </c>
      <c r="H103" s="195">
        <v>6</v>
      </c>
      <c r="I103" s="195">
        <v>6</v>
      </c>
      <c r="J103" s="354">
        <v>25</v>
      </c>
      <c r="K103" s="143"/>
      <c r="L103" s="143"/>
      <c r="M103" s="143"/>
      <c r="N103" s="143"/>
      <c r="O103" s="143"/>
      <c r="P103" s="143"/>
      <c r="Q103" s="6"/>
    </row>
    <row r="104" spans="2:17" ht="20.55" customHeight="1" x14ac:dyDescent="0.25">
      <c r="B104" s="4"/>
      <c r="C104" s="362" t="s">
        <v>272</v>
      </c>
      <c r="D104" s="363" t="s">
        <v>272</v>
      </c>
      <c r="E104" s="363" t="s">
        <v>272</v>
      </c>
      <c r="F104" s="364" t="s">
        <v>272</v>
      </c>
      <c r="G104" s="195">
        <v>6</v>
      </c>
      <c r="H104" s="195">
        <v>6</v>
      </c>
      <c r="I104" s="195">
        <v>6</v>
      </c>
      <c r="J104" s="354">
        <v>25</v>
      </c>
      <c r="K104" s="143"/>
      <c r="L104" s="143"/>
      <c r="M104" s="143"/>
      <c r="N104" s="143"/>
      <c r="O104" s="143"/>
      <c r="P104" s="143"/>
      <c r="Q104" s="6"/>
    </row>
    <row r="105" spans="2:17" ht="20.100000000000001" customHeight="1" x14ac:dyDescent="0.25">
      <c r="B105" s="4"/>
      <c r="C105" s="365" t="s">
        <v>273</v>
      </c>
      <c r="D105" s="366" t="s">
        <v>273</v>
      </c>
      <c r="E105" s="366" t="s">
        <v>273</v>
      </c>
      <c r="F105" s="367" t="s">
        <v>273</v>
      </c>
      <c r="G105" s="194">
        <v>1</v>
      </c>
      <c r="H105" s="194">
        <v>1</v>
      </c>
      <c r="I105" s="194">
        <v>1</v>
      </c>
      <c r="J105" s="194">
        <v>25</v>
      </c>
      <c r="K105" s="143"/>
      <c r="L105" s="143"/>
      <c r="M105" s="143"/>
      <c r="N105" s="143"/>
      <c r="O105" s="143"/>
      <c r="P105" s="143"/>
      <c r="Q105" s="6"/>
    </row>
    <row r="106" spans="2:17" ht="22.05" customHeight="1" x14ac:dyDescent="0.25">
      <c r="B106" s="4"/>
      <c r="C106" s="362" t="s">
        <v>274</v>
      </c>
      <c r="D106" s="363" t="s">
        <v>274</v>
      </c>
      <c r="E106" s="363" t="s">
        <v>274</v>
      </c>
      <c r="F106" s="364" t="s">
        <v>274</v>
      </c>
      <c r="G106" s="195">
        <v>6</v>
      </c>
      <c r="H106" s="195">
        <v>6</v>
      </c>
      <c r="I106" s="195">
        <v>6</v>
      </c>
      <c r="J106" s="354">
        <v>25</v>
      </c>
      <c r="K106" s="143"/>
      <c r="L106" s="143"/>
      <c r="M106" s="143"/>
      <c r="N106" s="143"/>
      <c r="O106" s="143"/>
      <c r="P106" s="143"/>
      <c r="Q106" s="6"/>
    </row>
    <row r="107" spans="2:17" ht="34.049999999999997" customHeight="1" x14ac:dyDescent="0.25">
      <c r="B107" s="4"/>
      <c r="C107" s="362" t="s">
        <v>275</v>
      </c>
      <c r="D107" s="363" t="s">
        <v>275</v>
      </c>
      <c r="E107" s="363" t="s">
        <v>275</v>
      </c>
      <c r="F107" s="364" t="s">
        <v>275</v>
      </c>
      <c r="G107" s="195">
        <v>6</v>
      </c>
      <c r="H107" s="195">
        <v>6</v>
      </c>
      <c r="I107" s="195">
        <v>6</v>
      </c>
      <c r="J107" s="354">
        <v>25</v>
      </c>
      <c r="K107" s="143"/>
      <c r="L107" s="143"/>
      <c r="M107" s="143"/>
      <c r="N107" s="143"/>
      <c r="O107" s="143"/>
      <c r="P107" s="143"/>
      <c r="Q107" s="6"/>
    </row>
    <row r="108" spans="2:17" ht="14.55" customHeight="1" x14ac:dyDescent="0.25">
      <c r="B108" s="4"/>
      <c r="C108" s="362" t="s">
        <v>276</v>
      </c>
      <c r="D108" s="363" t="s">
        <v>276</v>
      </c>
      <c r="E108" s="363" t="s">
        <v>276</v>
      </c>
      <c r="F108" s="364" t="s">
        <v>276</v>
      </c>
      <c r="G108" s="195">
        <v>6</v>
      </c>
      <c r="H108" s="195">
        <v>6</v>
      </c>
      <c r="I108" s="195">
        <v>6</v>
      </c>
      <c r="J108" s="354">
        <v>25</v>
      </c>
      <c r="K108" s="143"/>
      <c r="L108" s="143"/>
      <c r="M108" s="143"/>
      <c r="N108" s="143"/>
      <c r="O108" s="143"/>
      <c r="P108" s="143"/>
      <c r="Q108" s="6"/>
    </row>
    <row r="109" spans="2:17" ht="17.55" customHeight="1" x14ac:dyDescent="0.25">
      <c r="B109" s="4"/>
      <c r="C109" s="365" t="s">
        <v>277</v>
      </c>
      <c r="D109" s="366" t="s">
        <v>277</v>
      </c>
      <c r="E109" s="366" t="s">
        <v>277</v>
      </c>
      <c r="F109" s="367" t="s">
        <v>277</v>
      </c>
      <c r="G109" s="194">
        <v>1</v>
      </c>
      <c r="H109" s="194">
        <v>1</v>
      </c>
      <c r="I109" s="194">
        <v>0.25</v>
      </c>
      <c r="J109" s="194">
        <v>10</v>
      </c>
      <c r="K109" s="143"/>
      <c r="L109" s="143"/>
      <c r="M109" s="143"/>
      <c r="N109" s="143"/>
      <c r="O109" s="143"/>
      <c r="P109" s="143"/>
      <c r="Q109" s="6"/>
    </row>
    <row r="110" spans="2:17" ht="18.600000000000001" customHeight="1" x14ac:dyDescent="0.25">
      <c r="B110" s="4"/>
      <c r="C110" s="362" t="s">
        <v>278</v>
      </c>
      <c r="D110" s="363" t="s">
        <v>278</v>
      </c>
      <c r="E110" s="363" t="s">
        <v>278</v>
      </c>
      <c r="F110" s="364" t="s">
        <v>278</v>
      </c>
      <c r="G110" s="195">
        <v>6</v>
      </c>
      <c r="H110" s="195">
        <v>6</v>
      </c>
      <c r="I110" s="195">
        <v>6</v>
      </c>
      <c r="J110" s="354">
        <v>25</v>
      </c>
      <c r="K110" s="143"/>
      <c r="L110" s="143"/>
      <c r="M110" s="143"/>
      <c r="N110" s="143"/>
      <c r="O110" s="143"/>
      <c r="P110" s="143"/>
      <c r="Q110" s="6"/>
    </row>
    <row r="111" spans="2:17" ht="16.05" customHeight="1" x14ac:dyDescent="0.25">
      <c r="B111" s="4"/>
      <c r="C111" s="365" t="s">
        <v>279</v>
      </c>
      <c r="D111" s="366" t="s">
        <v>279</v>
      </c>
      <c r="E111" s="366" t="s">
        <v>279</v>
      </c>
      <c r="F111" s="367" t="s">
        <v>279</v>
      </c>
      <c r="G111" s="194">
        <v>2.5</v>
      </c>
      <c r="H111" s="194">
        <v>2.5</v>
      </c>
      <c r="I111" s="194">
        <v>0.25</v>
      </c>
      <c r="J111" s="194">
        <v>10</v>
      </c>
      <c r="K111" s="143"/>
      <c r="L111" s="143"/>
      <c r="M111" s="143"/>
      <c r="N111" s="143"/>
      <c r="O111" s="143"/>
      <c r="P111" s="143"/>
      <c r="Q111" s="6"/>
    </row>
    <row r="112" spans="2:17" ht="17.100000000000001" customHeight="1" x14ac:dyDescent="0.25">
      <c r="B112" s="4"/>
      <c r="C112" s="362" t="s">
        <v>280</v>
      </c>
      <c r="D112" s="363" t="s">
        <v>280</v>
      </c>
      <c r="E112" s="363" t="s">
        <v>280</v>
      </c>
      <c r="F112" s="364" t="s">
        <v>280</v>
      </c>
      <c r="G112" s="195">
        <v>6</v>
      </c>
      <c r="H112" s="195">
        <v>6</v>
      </c>
      <c r="I112" s="195">
        <v>6</v>
      </c>
      <c r="J112" s="354">
        <v>25</v>
      </c>
      <c r="K112" s="143"/>
      <c r="L112" s="143"/>
      <c r="M112" s="143"/>
      <c r="N112" s="143"/>
      <c r="O112" s="143"/>
      <c r="P112" s="143"/>
      <c r="Q112" s="6"/>
    </row>
    <row r="113" spans="2:17" ht="18.600000000000001" customHeight="1" x14ac:dyDescent="0.25">
      <c r="B113" s="4"/>
      <c r="C113" s="362" t="s">
        <v>281</v>
      </c>
      <c r="D113" s="363" t="s">
        <v>281</v>
      </c>
      <c r="E113" s="363" t="s">
        <v>281</v>
      </c>
      <c r="F113" s="364" t="s">
        <v>281</v>
      </c>
      <c r="G113" s="195">
        <v>6</v>
      </c>
      <c r="H113" s="195">
        <v>6</v>
      </c>
      <c r="I113" s="195">
        <v>6</v>
      </c>
      <c r="J113" s="354">
        <v>25</v>
      </c>
      <c r="K113" s="143"/>
      <c r="L113" s="143"/>
      <c r="M113" s="143"/>
      <c r="N113" s="143"/>
      <c r="O113" s="143"/>
      <c r="P113" s="143"/>
      <c r="Q113" s="6"/>
    </row>
    <row r="114" spans="2:17" ht="17.55" customHeight="1" x14ac:dyDescent="0.25">
      <c r="B114" s="4"/>
      <c r="C114" s="365" t="s">
        <v>282</v>
      </c>
      <c r="D114" s="366" t="s">
        <v>282</v>
      </c>
      <c r="E114" s="366" t="s">
        <v>282</v>
      </c>
      <c r="F114" s="367" t="s">
        <v>282</v>
      </c>
      <c r="G114" s="194">
        <v>1</v>
      </c>
      <c r="H114" s="194">
        <v>1</v>
      </c>
      <c r="I114" s="194">
        <v>1</v>
      </c>
      <c r="J114" s="194">
        <v>25</v>
      </c>
      <c r="K114" s="143"/>
      <c r="L114" s="143"/>
      <c r="M114" s="143"/>
      <c r="N114" s="143"/>
      <c r="O114" s="143"/>
      <c r="P114" s="143"/>
      <c r="Q114" s="6"/>
    </row>
    <row r="115" spans="2:17" ht="23.1" customHeight="1" x14ac:dyDescent="0.25">
      <c r="B115" s="4"/>
      <c r="C115" s="362" t="s">
        <v>283</v>
      </c>
      <c r="D115" s="363" t="s">
        <v>283</v>
      </c>
      <c r="E115" s="363" t="s">
        <v>283</v>
      </c>
      <c r="F115" s="364" t="s">
        <v>283</v>
      </c>
      <c r="G115" s="195">
        <v>6</v>
      </c>
      <c r="H115" s="195">
        <v>6</v>
      </c>
      <c r="I115" s="195">
        <v>6</v>
      </c>
      <c r="J115" s="354">
        <v>25</v>
      </c>
      <c r="K115" s="143"/>
      <c r="L115" s="143"/>
      <c r="M115" s="143"/>
      <c r="N115" s="143"/>
      <c r="O115" s="143"/>
      <c r="P115" s="143"/>
      <c r="Q115" s="6"/>
    </row>
    <row r="116" spans="2:17" ht="16.05" customHeight="1" x14ac:dyDescent="0.25">
      <c r="B116" s="4"/>
      <c r="C116" s="362" t="s">
        <v>284</v>
      </c>
      <c r="D116" s="363" t="s">
        <v>284</v>
      </c>
      <c r="E116" s="363" t="s">
        <v>284</v>
      </c>
      <c r="F116" s="364" t="s">
        <v>284</v>
      </c>
      <c r="G116" s="195">
        <v>6</v>
      </c>
      <c r="H116" s="195">
        <v>6</v>
      </c>
      <c r="I116" s="195">
        <v>6</v>
      </c>
      <c r="J116" s="354">
        <v>25</v>
      </c>
      <c r="K116" s="143"/>
      <c r="L116" s="143"/>
      <c r="M116" s="143"/>
      <c r="N116" s="143"/>
      <c r="O116" s="143"/>
      <c r="P116" s="143"/>
      <c r="Q116" s="6"/>
    </row>
    <row r="117" spans="2:17" ht="15.6" customHeight="1" x14ac:dyDescent="0.25">
      <c r="B117" s="4"/>
      <c r="C117" s="362" t="s">
        <v>285</v>
      </c>
      <c r="D117" s="363" t="s">
        <v>285</v>
      </c>
      <c r="E117" s="363" t="s">
        <v>285</v>
      </c>
      <c r="F117" s="364" t="s">
        <v>285</v>
      </c>
      <c r="G117" s="195">
        <v>6</v>
      </c>
      <c r="H117" s="195">
        <v>6</v>
      </c>
      <c r="I117" s="195">
        <v>6</v>
      </c>
      <c r="J117" s="354">
        <v>25</v>
      </c>
      <c r="K117" s="143"/>
      <c r="L117" s="143"/>
      <c r="M117" s="143"/>
      <c r="N117" s="143"/>
      <c r="O117" s="143"/>
      <c r="P117" s="143"/>
      <c r="Q117" s="6"/>
    </row>
    <row r="118" spans="2:17" ht="14.55" customHeight="1" x14ac:dyDescent="0.25">
      <c r="B118" s="4"/>
      <c r="C118" s="365" t="s">
        <v>286</v>
      </c>
      <c r="D118" s="366" t="s">
        <v>286</v>
      </c>
      <c r="E118" s="366" t="s">
        <v>286</v>
      </c>
      <c r="F118" s="367" t="s">
        <v>286</v>
      </c>
      <c r="G118" s="194">
        <v>1</v>
      </c>
      <c r="H118" s="194">
        <v>1</v>
      </c>
      <c r="I118" s="194">
        <v>0.25</v>
      </c>
      <c r="J118" s="194">
        <v>10</v>
      </c>
      <c r="K118" s="143"/>
      <c r="L118" s="143"/>
      <c r="M118" s="143"/>
      <c r="N118" s="143"/>
      <c r="O118" s="143"/>
      <c r="P118" s="143"/>
      <c r="Q118" s="6"/>
    </row>
    <row r="119" spans="2:17" ht="18.600000000000001" customHeight="1" x14ac:dyDescent="0.25">
      <c r="B119" s="4"/>
      <c r="C119" s="362" t="s">
        <v>287</v>
      </c>
      <c r="D119" s="363" t="s">
        <v>287</v>
      </c>
      <c r="E119" s="363" t="s">
        <v>287</v>
      </c>
      <c r="F119" s="364" t="s">
        <v>287</v>
      </c>
      <c r="G119" s="195">
        <v>6</v>
      </c>
      <c r="H119" s="195">
        <v>6</v>
      </c>
      <c r="I119" s="195">
        <v>6</v>
      </c>
      <c r="J119" s="354">
        <v>25</v>
      </c>
      <c r="K119" s="143"/>
      <c r="L119" s="143"/>
      <c r="M119" s="143"/>
      <c r="N119" s="143"/>
      <c r="O119" s="143"/>
      <c r="P119" s="143"/>
      <c r="Q119" s="6"/>
    </row>
    <row r="120" spans="2:17" ht="27" customHeight="1" x14ac:dyDescent="0.25">
      <c r="B120" s="4"/>
      <c r="C120" s="362" t="s">
        <v>288</v>
      </c>
      <c r="D120" s="363" t="s">
        <v>288</v>
      </c>
      <c r="E120" s="363" t="s">
        <v>288</v>
      </c>
      <c r="F120" s="364" t="s">
        <v>288</v>
      </c>
      <c r="G120" s="195">
        <v>6</v>
      </c>
      <c r="H120" s="195">
        <v>6</v>
      </c>
      <c r="I120" s="195">
        <v>6</v>
      </c>
      <c r="J120" s="354">
        <v>25</v>
      </c>
      <c r="K120" s="143"/>
      <c r="L120" s="143"/>
      <c r="M120" s="143"/>
      <c r="N120" s="143"/>
      <c r="O120" s="143"/>
      <c r="P120" s="143"/>
      <c r="Q120" s="6"/>
    </row>
    <row r="121" spans="2:17" ht="15.6" customHeight="1" x14ac:dyDescent="0.25">
      <c r="B121" s="4"/>
      <c r="C121" s="362" t="s">
        <v>289</v>
      </c>
      <c r="D121" s="363" t="s">
        <v>289</v>
      </c>
      <c r="E121" s="363" t="s">
        <v>289</v>
      </c>
      <c r="F121" s="364" t="s">
        <v>289</v>
      </c>
      <c r="G121" s="195">
        <v>6</v>
      </c>
      <c r="H121" s="195">
        <v>6</v>
      </c>
      <c r="I121" s="195">
        <v>6</v>
      </c>
      <c r="J121" s="354">
        <v>25</v>
      </c>
      <c r="K121" s="143"/>
      <c r="L121" s="143"/>
      <c r="M121" s="143"/>
      <c r="N121" s="143"/>
      <c r="O121" s="143"/>
      <c r="P121" s="143"/>
      <c r="Q121" s="6"/>
    </row>
    <row r="122" spans="2:17" ht="18.600000000000001" customHeight="1" x14ac:dyDescent="0.25">
      <c r="B122" s="4"/>
      <c r="C122" s="365" t="s">
        <v>290</v>
      </c>
      <c r="D122" s="366" t="s">
        <v>290</v>
      </c>
      <c r="E122" s="366" t="s">
        <v>290</v>
      </c>
      <c r="F122" s="367" t="s">
        <v>290</v>
      </c>
      <c r="G122" s="194">
        <v>1</v>
      </c>
      <c r="H122" s="194">
        <v>1</v>
      </c>
      <c r="I122" s="194">
        <v>0.25</v>
      </c>
      <c r="J122" s="194">
        <v>10</v>
      </c>
      <c r="K122" s="143"/>
      <c r="L122" s="143"/>
      <c r="M122" s="143"/>
      <c r="N122" s="143"/>
      <c r="O122" s="143"/>
      <c r="P122" s="143"/>
      <c r="Q122" s="6"/>
    </row>
    <row r="123" spans="2:17" ht="30.6" customHeight="1" x14ac:dyDescent="0.25">
      <c r="B123" s="4"/>
      <c r="C123" s="362" t="s">
        <v>291</v>
      </c>
      <c r="D123" s="363" t="s">
        <v>291</v>
      </c>
      <c r="E123" s="363" t="s">
        <v>291</v>
      </c>
      <c r="F123" s="364" t="s">
        <v>291</v>
      </c>
      <c r="G123" s="195">
        <v>6</v>
      </c>
      <c r="H123" s="195">
        <v>6</v>
      </c>
      <c r="I123" s="195">
        <v>6</v>
      </c>
      <c r="J123" s="354">
        <v>25</v>
      </c>
      <c r="K123" s="143"/>
      <c r="L123" s="143"/>
      <c r="M123" s="143"/>
      <c r="N123" s="143"/>
      <c r="O123" s="143"/>
      <c r="P123" s="143"/>
      <c r="Q123" s="6"/>
    </row>
    <row r="124" spans="2:17" ht="16.05" customHeight="1" x14ac:dyDescent="0.25">
      <c r="B124" s="4"/>
      <c r="C124" s="362" t="s">
        <v>292</v>
      </c>
      <c r="D124" s="363" t="s">
        <v>292</v>
      </c>
      <c r="E124" s="363" t="s">
        <v>292</v>
      </c>
      <c r="F124" s="364" t="s">
        <v>292</v>
      </c>
      <c r="G124" s="195">
        <v>6</v>
      </c>
      <c r="H124" s="195">
        <v>6</v>
      </c>
      <c r="I124" s="194">
        <v>0.25</v>
      </c>
      <c r="J124" s="194">
        <v>10</v>
      </c>
      <c r="K124" s="143"/>
      <c r="L124" s="143"/>
      <c r="M124" s="143"/>
      <c r="N124" s="143"/>
      <c r="O124" s="143"/>
      <c r="P124" s="143"/>
      <c r="Q124" s="6"/>
    </row>
    <row r="125" spans="2:17" ht="17.100000000000001" customHeight="1" x14ac:dyDescent="0.25">
      <c r="B125" s="4"/>
      <c r="C125" s="362" t="s">
        <v>293</v>
      </c>
      <c r="D125" s="363" t="s">
        <v>293</v>
      </c>
      <c r="E125" s="363" t="s">
        <v>293</v>
      </c>
      <c r="F125" s="364" t="s">
        <v>293</v>
      </c>
      <c r="G125" s="195">
        <v>6</v>
      </c>
      <c r="H125" s="195">
        <v>6</v>
      </c>
      <c r="I125" s="195">
        <v>6</v>
      </c>
      <c r="J125" s="354">
        <v>25</v>
      </c>
      <c r="K125" s="143"/>
      <c r="L125" s="143"/>
      <c r="M125" s="143"/>
      <c r="N125" s="143"/>
      <c r="O125" s="143"/>
      <c r="P125" s="143"/>
      <c r="Q125" s="6"/>
    </row>
    <row r="126" spans="2:17" ht="14.55" customHeight="1" x14ac:dyDescent="0.25">
      <c r="B126" s="4"/>
      <c r="C126" s="365" t="s">
        <v>294</v>
      </c>
      <c r="D126" s="366" t="s">
        <v>294</v>
      </c>
      <c r="E126" s="366" t="s">
        <v>294</v>
      </c>
      <c r="F126" s="367" t="s">
        <v>294</v>
      </c>
      <c r="G126" s="194">
        <v>1</v>
      </c>
      <c r="H126" s="194">
        <v>1</v>
      </c>
      <c r="I126" s="194">
        <v>1</v>
      </c>
      <c r="J126" s="194">
        <v>25</v>
      </c>
      <c r="K126" s="143"/>
      <c r="L126" s="143"/>
      <c r="M126" s="143"/>
      <c r="N126" s="143"/>
      <c r="O126" s="143"/>
      <c r="P126" s="143"/>
      <c r="Q126" s="6"/>
    </row>
    <row r="127" spans="2:17" ht="20.100000000000001" customHeight="1" x14ac:dyDescent="0.25">
      <c r="B127" s="4"/>
      <c r="C127" s="362" t="s">
        <v>295</v>
      </c>
      <c r="D127" s="363" t="s">
        <v>295</v>
      </c>
      <c r="E127" s="363" t="s">
        <v>295</v>
      </c>
      <c r="F127" s="364" t="s">
        <v>295</v>
      </c>
      <c r="G127" s="195">
        <v>6</v>
      </c>
      <c r="H127" s="195">
        <v>6</v>
      </c>
      <c r="I127" s="195">
        <v>6</v>
      </c>
      <c r="J127" s="354">
        <v>25</v>
      </c>
      <c r="K127" s="143"/>
      <c r="L127" s="143"/>
      <c r="M127" s="143"/>
      <c r="N127" s="143"/>
      <c r="O127" s="143"/>
      <c r="P127" s="143"/>
      <c r="Q127" s="6"/>
    </row>
    <row r="128" spans="2:17" ht="17.55" customHeight="1" x14ac:dyDescent="0.25">
      <c r="B128" s="4"/>
      <c r="C128" s="362" t="s">
        <v>296</v>
      </c>
      <c r="D128" s="363" t="s">
        <v>296</v>
      </c>
      <c r="E128" s="363" t="s">
        <v>296</v>
      </c>
      <c r="F128" s="364" t="s">
        <v>296</v>
      </c>
      <c r="G128" s="195">
        <v>6</v>
      </c>
      <c r="H128" s="195">
        <v>6</v>
      </c>
      <c r="I128" s="195">
        <v>6</v>
      </c>
      <c r="J128" s="354">
        <v>25</v>
      </c>
      <c r="K128" s="143"/>
      <c r="L128" s="143"/>
      <c r="M128" s="143"/>
      <c r="N128" s="143"/>
      <c r="O128" s="143"/>
      <c r="P128" s="143"/>
      <c r="Q128" s="6"/>
    </row>
    <row r="129" spans="2:17" ht="20.55" customHeight="1" x14ac:dyDescent="0.25">
      <c r="B129" s="4"/>
      <c r="C129" s="362" t="s">
        <v>297</v>
      </c>
      <c r="D129" s="363" t="s">
        <v>297</v>
      </c>
      <c r="E129" s="363" t="s">
        <v>297</v>
      </c>
      <c r="F129" s="364" t="s">
        <v>297</v>
      </c>
      <c r="G129" s="195">
        <v>6</v>
      </c>
      <c r="H129" s="195">
        <v>6</v>
      </c>
      <c r="I129" s="195">
        <v>6</v>
      </c>
      <c r="J129" s="354">
        <v>25</v>
      </c>
      <c r="K129" s="143"/>
      <c r="L129" s="143"/>
      <c r="M129" s="143"/>
      <c r="N129" s="143"/>
      <c r="O129" s="143"/>
      <c r="P129" s="143"/>
      <c r="Q129" s="6"/>
    </row>
    <row r="130" spans="2:17" ht="20.100000000000001" customHeight="1" x14ac:dyDescent="0.25">
      <c r="B130" s="4"/>
      <c r="C130" s="362" t="s">
        <v>298</v>
      </c>
      <c r="D130" s="363" t="s">
        <v>298</v>
      </c>
      <c r="E130" s="363" t="s">
        <v>298</v>
      </c>
      <c r="F130" s="364" t="s">
        <v>298</v>
      </c>
      <c r="G130" s="195">
        <v>6</v>
      </c>
      <c r="H130" s="195">
        <v>6</v>
      </c>
      <c r="I130" s="195">
        <v>6</v>
      </c>
      <c r="J130" s="354">
        <v>25</v>
      </c>
      <c r="K130" s="143"/>
      <c r="L130" s="143"/>
      <c r="M130" s="143"/>
      <c r="N130" s="143"/>
      <c r="O130" s="143"/>
      <c r="P130" s="143"/>
      <c r="Q130" s="6"/>
    </row>
    <row r="131" spans="2:17" ht="15.6" customHeight="1" x14ac:dyDescent="0.25">
      <c r="B131" s="4"/>
      <c r="C131" s="362" t="s">
        <v>299</v>
      </c>
      <c r="D131" s="363" t="s">
        <v>299</v>
      </c>
      <c r="E131" s="363" t="s">
        <v>299</v>
      </c>
      <c r="F131" s="364" t="s">
        <v>299</v>
      </c>
      <c r="G131" s="195">
        <v>6</v>
      </c>
      <c r="H131" s="195">
        <v>6</v>
      </c>
      <c r="I131" s="195">
        <v>6</v>
      </c>
      <c r="J131" s="354">
        <v>25</v>
      </c>
      <c r="K131" s="143"/>
      <c r="L131" s="143"/>
      <c r="M131" s="143"/>
      <c r="N131" s="143"/>
      <c r="O131" s="143"/>
      <c r="P131" s="143"/>
      <c r="Q131" s="6"/>
    </row>
    <row r="132" spans="2:17" ht="16.05" customHeight="1" x14ac:dyDescent="0.25">
      <c r="B132" s="4"/>
      <c r="C132" s="362" t="s">
        <v>300</v>
      </c>
      <c r="D132" s="363" t="s">
        <v>300</v>
      </c>
      <c r="E132" s="363" t="s">
        <v>300</v>
      </c>
      <c r="F132" s="364" t="s">
        <v>300</v>
      </c>
      <c r="G132" s="195">
        <v>6</v>
      </c>
      <c r="H132" s="195">
        <v>6</v>
      </c>
      <c r="I132" s="195">
        <v>6</v>
      </c>
      <c r="J132" s="354">
        <v>25</v>
      </c>
      <c r="K132" s="143"/>
      <c r="L132" s="143"/>
      <c r="M132" s="143"/>
      <c r="N132" s="143"/>
      <c r="O132" s="143"/>
      <c r="P132" s="143"/>
      <c r="Q132" s="6"/>
    </row>
    <row r="133" spans="2:17" ht="19.05" customHeight="1" x14ac:dyDescent="0.25">
      <c r="B133" s="4"/>
      <c r="C133" s="362" t="s">
        <v>301</v>
      </c>
      <c r="D133" s="363" t="s">
        <v>301</v>
      </c>
      <c r="E133" s="363" t="s">
        <v>301</v>
      </c>
      <c r="F133" s="364" t="s">
        <v>301</v>
      </c>
      <c r="G133" s="195">
        <v>6</v>
      </c>
      <c r="H133" s="195">
        <v>6</v>
      </c>
      <c r="I133" s="195">
        <v>6</v>
      </c>
      <c r="J133" s="354">
        <v>25</v>
      </c>
      <c r="K133" s="143"/>
      <c r="L133" s="143"/>
      <c r="M133" s="143"/>
      <c r="N133" s="143"/>
      <c r="O133" s="143"/>
      <c r="P133" s="143"/>
      <c r="Q133" s="6"/>
    </row>
    <row r="134" spans="2:17" ht="18.600000000000001" customHeight="1" x14ac:dyDescent="0.25">
      <c r="B134" s="4"/>
      <c r="C134" s="362" t="s">
        <v>302</v>
      </c>
      <c r="D134" s="363" t="s">
        <v>302</v>
      </c>
      <c r="E134" s="363" t="s">
        <v>302</v>
      </c>
      <c r="F134" s="364" t="s">
        <v>302</v>
      </c>
      <c r="G134" s="195">
        <v>6</v>
      </c>
      <c r="H134" s="195">
        <v>6</v>
      </c>
      <c r="I134" s="195">
        <v>6</v>
      </c>
      <c r="J134" s="354">
        <v>25</v>
      </c>
      <c r="K134" s="143"/>
      <c r="L134" s="143"/>
      <c r="M134" s="143"/>
      <c r="N134" s="143"/>
      <c r="O134" s="143"/>
      <c r="P134" s="143"/>
      <c r="Q134" s="6"/>
    </row>
    <row r="135" spans="2:17" ht="20.100000000000001" customHeight="1" x14ac:dyDescent="0.25">
      <c r="B135" s="4"/>
      <c r="C135" s="362" t="s">
        <v>303</v>
      </c>
      <c r="D135" s="363" t="s">
        <v>303</v>
      </c>
      <c r="E135" s="363" t="s">
        <v>303</v>
      </c>
      <c r="F135" s="364" t="s">
        <v>303</v>
      </c>
      <c r="G135" s="195">
        <v>6</v>
      </c>
      <c r="H135" s="195">
        <v>6</v>
      </c>
      <c r="I135" s="194">
        <v>0.25</v>
      </c>
      <c r="J135" s="194">
        <v>10</v>
      </c>
      <c r="K135" s="143"/>
      <c r="L135" s="143"/>
      <c r="M135" s="143"/>
      <c r="N135" s="143"/>
      <c r="O135" s="143"/>
      <c r="P135" s="143"/>
      <c r="Q135" s="6"/>
    </row>
    <row r="136" spans="2:17" ht="19.05" customHeight="1" x14ac:dyDescent="0.25">
      <c r="B136" s="4"/>
      <c r="C136" s="362" t="s">
        <v>304</v>
      </c>
      <c r="D136" s="363" t="s">
        <v>304</v>
      </c>
      <c r="E136" s="363" t="s">
        <v>304</v>
      </c>
      <c r="F136" s="364" t="s">
        <v>304</v>
      </c>
      <c r="G136" s="195">
        <v>6</v>
      </c>
      <c r="H136" s="195">
        <v>6</v>
      </c>
      <c r="I136" s="195">
        <v>6</v>
      </c>
      <c r="J136" s="354">
        <v>25</v>
      </c>
      <c r="K136" s="143"/>
      <c r="L136" s="143"/>
      <c r="M136" s="143"/>
      <c r="N136" s="143"/>
      <c r="O136" s="143"/>
      <c r="P136" s="143"/>
      <c r="Q136" s="6"/>
    </row>
    <row r="137" spans="2:17" ht="17.100000000000001" customHeight="1" x14ac:dyDescent="0.25">
      <c r="B137" s="4"/>
      <c r="C137" s="362" t="s">
        <v>305</v>
      </c>
      <c r="D137" s="363" t="s">
        <v>305</v>
      </c>
      <c r="E137" s="363" t="s">
        <v>305</v>
      </c>
      <c r="F137" s="364" t="s">
        <v>305</v>
      </c>
      <c r="G137" s="195">
        <v>6</v>
      </c>
      <c r="H137" s="195">
        <v>6</v>
      </c>
      <c r="I137" s="195">
        <v>6</v>
      </c>
      <c r="J137" s="354">
        <v>25</v>
      </c>
      <c r="K137" s="143"/>
      <c r="L137" s="143"/>
      <c r="M137" s="143"/>
      <c r="N137" s="143"/>
      <c r="O137" s="143"/>
      <c r="P137" s="143"/>
      <c r="Q137" s="6"/>
    </row>
    <row r="138" spans="2:17" ht="17.55" customHeight="1" x14ac:dyDescent="0.25">
      <c r="B138" s="4"/>
      <c r="C138" s="362" t="s">
        <v>306</v>
      </c>
      <c r="D138" s="363" t="s">
        <v>306</v>
      </c>
      <c r="E138" s="363" t="s">
        <v>306</v>
      </c>
      <c r="F138" s="364" t="s">
        <v>306</v>
      </c>
      <c r="G138" s="195">
        <v>6</v>
      </c>
      <c r="H138" s="195">
        <v>6</v>
      </c>
      <c r="I138" s="195">
        <v>6</v>
      </c>
      <c r="J138" s="354">
        <v>25</v>
      </c>
      <c r="K138" s="143"/>
      <c r="L138" s="143"/>
      <c r="M138" s="143"/>
      <c r="N138" s="143"/>
      <c r="O138" s="143"/>
      <c r="P138" s="143"/>
      <c r="Q138" s="6"/>
    </row>
    <row r="139" spans="2:17" ht="17.100000000000001" customHeight="1" x14ac:dyDescent="0.25">
      <c r="B139" s="4"/>
      <c r="C139" s="362" t="s">
        <v>307</v>
      </c>
      <c r="D139" s="363" t="s">
        <v>307</v>
      </c>
      <c r="E139" s="363" t="s">
        <v>307</v>
      </c>
      <c r="F139" s="364" t="s">
        <v>307</v>
      </c>
      <c r="G139" s="195">
        <v>6</v>
      </c>
      <c r="H139" s="195">
        <v>6</v>
      </c>
      <c r="I139" s="195">
        <v>6</v>
      </c>
      <c r="J139" s="354">
        <v>25</v>
      </c>
      <c r="K139" s="143"/>
      <c r="L139" s="143"/>
      <c r="M139" s="143"/>
      <c r="N139" s="143"/>
      <c r="O139" s="143"/>
      <c r="P139" s="143"/>
      <c r="Q139" s="6"/>
    </row>
    <row r="140" spans="2:17" ht="17.100000000000001" customHeight="1" x14ac:dyDescent="0.25">
      <c r="B140" s="4"/>
      <c r="C140" s="362" t="s">
        <v>308</v>
      </c>
      <c r="D140" s="363" t="s">
        <v>308</v>
      </c>
      <c r="E140" s="363" t="s">
        <v>308</v>
      </c>
      <c r="F140" s="364" t="s">
        <v>308</v>
      </c>
      <c r="G140" s="195">
        <v>6</v>
      </c>
      <c r="H140" s="195">
        <v>6</v>
      </c>
      <c r="I140" s="195">
        <v>6</v>
      </c>
      <c r="J140" s="354">
        <v>25</v>
      </c>
      <c r="K140" s="143"/>
      <c r="L140" s="143"/>
      <c r="M140" s="143"/>
      <c r="N140" s="143"/>
      <c r="O140" s="143"/>
      <c r="P140" s="143"/>
      <c r="Q140" s="6"/>
    </row>
    <row r="141" spans="2:17" ht="16.05" customHeight="1" x14ac:dyDescent="0.25">
      <c r="B141" s="4"/>
      <c r="C141" s="362" t="s">
        <v>309</v>
      </c>
      <c r="D141" s="363" t="s">
        <v>309</v>
      </c>
      <c r="E141" s="363" t="s">
        <v>309</v>
      </c>
      <c r="F141" s="364" t="s">
        <v>309</v>
      </c>
      <c r="G141" s="195">
        <v>6</v>
      </c>
      <c r="H141" s="195">
        <v>6</v>
      </c>
      <c r="I141" s="195">
        <v>6</v>
      </c>
      <c r="J141" s="354">
        <v>25</v>
      </c>
      <c r="K141" s="143"/>
      <c r="L141" s="143"/>
      <c r="M141" s="143"/>
      <c r="N141" s="143"/>
      <c r="O141" s="143"/>
      <c r="P141" s="143"/>
      <c r="Q141" s="6"/>
    </row>
    <row r="142" spans="2:17" ht="14.55" customHeight="1" x14ac:dyDescent="0.25">
      <c r="B142" s="4"/>
      <c r="C142" s="362" t="s">
        <v>310</v>
      </c>
      <c r="D142" s="363" t="s">
        <v>310</v>
      </c>
      <c r="E142" s="363" t="s">
        <v>310</v>
      </c>
      <c r="F142" s="364" t="s">
        <v>310</v>
      </c>
      <c r="G142" s="195">
        <v>6</v>
      </c>
      <c r="H142" s="195">
        <v>6</v>
      </c>
      <c r="I142" s="195">
        <v>6</v>
      </c>
      <c r="J142" s="354">
        <v>25</v>
      </c>
      <c r="K142" s="143"/>
      <c r="L142" s="143"/>
      <c r="M142" s="143"/>
      <c r="N142" s="143"/>
      <c r="O142" s="143"/>
      <c r="P142" s="143"/>
      <c r="Q142" s="6"/>
    </row>
    <row r="143" spans="2:17" ht="16.05" customHeight="1" x14ac:dyDescent="0.25">
      <c r="B143" s="4"/>
      <c r="C143" s="362" t="s">
        <v>311</v>
      </c>
      <c r="D143" s="363" t="s">
        <v>311</v>
      </c>
      <c r="E143" s="363" t="s">
        <v>311</v>
      </c>
      <c r="F143" s="364" t="s">
        <v>311</v>
      </c>
      <c r="G143" s="195">
        <v>6</v>
      </c>
      <c r="H143" s="195">
        <v>6</v>
      </c>
      <c r="I143" s="195">
        <v>6</v>
      </c>
      <c r="J143" s="354">
        <v>25</v>
      </c>
      <c r="K143" s="143"/>
      <c r="L143" s="143"/>
      <c r="M143" s="143"/>
      <c r="N143" s="143"/>
      <c r="O143" s="143"/>
      <c r="P143" s="143"/>
      <c r="Q143" s="6"/>
    </row>
    <row r="144" spans="2:17" ht="15.6" customHeight="1" x14ac:dyDescent="0.25">
      <c r="B144" s="4"/>
      <c r="C144" s="362" t="s">
        <v>312</v>
      </c>
      <c r="D144" s="363" t="s">
        <v>312</v>
      </c>
      <c r="E144" s="363" t="s">
        <v>312</v>
      </c>
      <c r="F144" s="364" t="s">
        <v>312</v>
      </c>
      <c r="G144" s="195">
        <v>6</v>
      </c>
      <c r="H144" s="195">
        <v>6</v>
      </c>
      <c r="I144" s="195">
        <v>6</v>
      </c>
      <c r="J144" s="354">
        <v>25</v>
      </c>
      <c r="K144" s="143"/>
      <c r="L144" s="143"/>
      <c r="M144" s="143"/>
      <c r="N144" s="143"/>
      <c r="O144" s="143"/>
      <c r="P144" s="143"/>
      <c r="Q144" s="6"/>
    </row>
    <row r="145" spans="2:17" ht="14.55" customHeight="1" x14ac:dyDescent="0.25">
      <c r="B145" s="4"/>
      <c r="C145" s="365" t="s">
        <v>313</v>
      </c>
      <c r="D145" s="366" t="s">
        <v>313</v>
      </c>
      <c r="E145" s="366" t="s">
        <v>313</v>
      </c>
      <c r="F145" s="367" t="s">
        <v>313</v>
      </c>
      <c r="G145" s="194">
        <v>1</v>
      </c>
      <c r="H145" s="194">
        <v>1</v>
      </c>
      <c r="I145" s="194">
        <v>0.25</v>
      </c>
      <c r="J145" s="194">
        <v>10</v>
      </c>
      <c r="K145" s="143"/>
      <c r="L145" s="143"/>
      <c r="M145" s="143"/>
      <c r="N145" s="143"/>
      <c r="O145" s="143"/>
      <c r="P145" s="143"/>
      <c r="Q145" s="6"/>
    </row>
    <row r="146" spans="2:17" ht="17.100000000000001" customHeight="1" x14ac:dyDescent="0.25">
      <c r="B146" s="4"/>
      <c r="C146" s="362" t="s">
        <v>314</v>
      </c>
      <c r="D146" s="363" t="s">
        <v>314</v>
      </c>
      <c r="E146" s="363" t="s">
        <v>314</v>
      </c>
      <c r="F146" s="364" t="s">
        <v>314</v>
      </c>
      <c r="G146" s="195">
        <v>6</v>
      </c>
      <c r="H146" s="195">
        <v>6</v>
      </c>
      <c r="I146" s="194">
        <v>0.25</v>
      </c>
      <c r="J146" s="194">
        <v>10</v>
      </c>
      <c r="K146" s="143"/>
      <c r="L146" s="143"/>
      <c r="M146" s="143"/>
      <c r="N146" s="143"/>
      <c r="O146" s="143"/>
      <c r="P146" s="143"/>
      <c r="Q146" s="6"/>
    </row>
    <row r="147" spans="2:17" ht="17.100000000000001" customHeight="1" x14ac:dyDescent="0.25">
      <c r="B147" s="4"/>
      <c r="C147" s="365" t="s">
        <v>315</v>
      </c>
      <c r="D147" s="366" t="s">
        <v>315</v>
      </c>
      <c r="E147" s="366" t="s">
        <v>315</v>
      </c>
      <c r="F147" s="367" t="s">
        <v>315</v>
      </c>
      <c r="G147" s="194">
        <v>1</v>
      </c>
      <c r="H147" s="194">
        <v>1</v>
      </c>
      <c r="I147" s="194">
        <v>1</v>
      </c>
      <c r="J147" s="194">
        <v>25</v>
      </c>
      <c r="K147" s="143"/>
      <c r="L147" s="143"/>
      <c r="M147" s="143"/>
      <c r="N147" s="143"/>
      <c r="O147" s="143"/>
      <c r="P147" s="143"/>
      <c r="Q147" s="6"/>
    </row>
    <row r="148" spans="2:17" ht="18.600000000000001" customHeight="1" x14ac:dyDescent="0.25">
      <c r="B148" s="4"/>
      <c r="C148" s="362" t="s">
        <v>316</v>
      </c>
      <c r="D148" s="363" t="s">
        <v>316</v>
      </c>
      <c r="E148" s="363" t="s">
        <v>316</v>
      </c>
      <c r="F148" s="364" t="s">
        <v>316</v>
      </c>
      <c r="G148" s="195">
        <v>6</v>
      </c>
      <c r="H148" s="195">
        <v>6</v>
      </c>
      <c r="I148" s="195">
        <v>6</v>
      </c>
      <c r="J148" s="354">
        <v>25</v>
      </c>
      <c r="K148" s="143"/>
      <c r="L148" s="143"/>
      <c r="M148" s="143"/>
      <c r="N148" s="143"/>
      <c r="O148" s="143"/>
      <c r="P148" s="143"/>
      <c r="Q148" s="6"/>
    </row>
    <row r="149" spans="2:17" ht="17.100000000000001" customHeight="1" x14ac:dyDescent="0.25">
      <c r="B149" s="4"/>
      <c r="C149" s="365" t="s">
        <v>317</v>
      </c>
      <c r="D149" s="366" t="s">
        <v>317</v>
      </c>
      <c r="E149" s="366" t="s">
        <v>317</v>
      </c>
      <c r="F149" s="367" t="s">
        <v>317</v>
      </c>
      <c r="G149" s="194">
        <v>2</v>
      </c>
      <c r="H149" s="194">
        <v>2</v>
      </c>
      <c r="I149" s="194">
        <v>2</v>
      </c>
      <c r="J149" s="194">
        <v>25</v>
      </c>
      <c r="K149" s="143"/>
      <c r="L149" s="143"/>
      <c r="M149" s="143"/>
      <c r="N149" s="143"/>
      <c r="O149" s="143"/>
      <c r="P149" s="143"/>
      <c r="Q149" s="6"/>
    </row>
    <row r="150" spans="2:17" ht="17.100000000000001" customHeight="1" x14ac:dyDescent="0.25">
      <c r="B150" s="4"/>
      <c r="C150" s="365" t="s">
        <v>318</v>
      </c>
      <c r="D150" s="366" t="s">
        <v>318</v>
      </c>
      <c r="E150" s="366" t="s">
        <v>318</v>
      </c>
      <c r="F150" s="367" t="s">
        <v>318</v>
      </c>
      <c r="G150" s="194">
        <v>1</v>
      </c>
      <c r="H150" s="194">
        <v>1</v>
      </c>
      <c r="I150" s="194">
        <v>0.25</v>
      </c>
      <c r="J150" s="194">
        <v>10</v>
      </c>
      <c r="K150" s="143"/>
      <c r="L150" s="143"/>
      <c r="M150" s="143"/>
      <c r="N150" s="143"/>
      <c r="O150" s="143"/>
      <c r="P150" s="143"/>
      <c r="Q150" s="6"/>
    </row>
    <row r="151" spans="2:17" ht="17.100000000000001" customHeight="1" x14ac:dyDescent="0.25">
      <c r="B151" s="4"/>
      <c r="C151" s="362" t="s">
        <v>319</v>
      </c>
      <c r="D151" s="363" t="s">
        <v>319</v>
      </c>
      <c r="E151" s="363" t="s">
        <v>319</v>
      </c>
      <c r="F151" s="364" t="s">
        <v>319</v>
      </c>
      <c r="G151" s="195">
        <v>6</v>
      </c>
      <c r="H151" s="195">
        <v>6</v>
      </c>
      <c r="I151" s="195">
        <v>6</v>
      </c>
      <c r="J151" s="354">
        <v>25</v>
      </c>
      <c r="K151" s="143"/>
      <c r="L151" s="143"/>
      <c r="M151" s="143"/>
      <c r="N151" s="143"/>
      <c r="O151" s="143"/>
      <c r="P151" s="143"/>
      <c r="Q151" s="6"/>
    </row>
    <row r="152" spans="2:17" ht="17.100000000000001" customHeight="1" x14ac:dyDescent="0.25">
      <c r="B152" s="4"/>
      <c r="C152" s="365" t="s">
        <v>320</v>
      </c>
      <c r="D152" s="366" t="s">
        <v>320</v>
      </c>
      <c r="E152" s="366" t="s">
        <v>320</v>
      </c>
      <c r="F152" s="367" t="s">
        <v>320</v>
      </c>
      <c r="G152" s="194">
        <v>2</v>
      </c>
      <c r="H152" s="194">
        <v>2</v>
      </c>
      <c r="I152" s="194">
        <v>2</v>
      </c>
      <c r="J152" s="194">
        <v>25</v>
      </c>
      <c r="K152" s="143"/>
      <c r="L152" s="143"/>
      <c r="M152" s="143"/>
      <c r="N152" s="143"/>
      <c r="O152" s="143"/>
      <c r="P152" s="143"/>
      <c r="Q152" s="6"/>
    </row>
    <row r="153" spans="2:17" ht="17.100000000000001" customHeight="1" x14ac:dyDescent="0.25">
      <c r="B153" s="4"/>
      <c r="C153" s="362" t="s">
        <v>321</v>
      </c>
      <c r="D153" s="363" t="s">
        <v>321</v>
      </c>
      <c r="E153" s="363" t="s">
        <v>321</v>
      </c>
      <c r="F153" s="364" t="s">
        <v>321</v>
      </c>
      <c r="G153" s="195">
        <v>6</v>
      </c>
      <c r="H153" s="195">
        <v>6</v>
      </c>
      <c r="I153" s="194">
        <v>0.25</v>
      </c>
      <c r="J153" s="194">
        <v>10</v>
      </c>
      <c r="K153" s="143"/>
      <c r="L153" s="143"/>
      <c r="M153" s="143"/>
      <c r="N153" s="143"/>
      <c r="O153" s="143"/>
      <c r="P153" s="143"/>
      <c r="Q153" s="6"/>
    </row>
    <row r="154" spans="2:17" ht="17.100000000000001" customHeight="1" x14ac:dyDescent="0.25">
      <c r="B154" s="4"/>
      <c r="C154" s="362" t="s">
        <v>322</v>
      </c>
      <c r="D154" s="363" t="s">
        <v>322</v>
      </c>
      <c r="E154" s="363" t="s">
        <v>322</v>
      </c>
      <c r="F154" s="364" t="s">
        <v>322</v>
      </c>
      <c r="G154" s="195">
        <v>6</v>
      </c>
      <c r="H154" s="195">
        <v>6</v>
      </c>
      <c r="I154" s="195">
        <v>6</v>
      </c>
      <c r="J154" s="354">
        <v>25</v>
      </c>
      <c r="K154" s="143"/>
      <c r="L154" s="143"/>
      <c r="M154" s="143"/>
      <c r="N154" s="143"/>
      <c r="O154" s="143"/>
      <c r="P154" s="143"/>
      <c r="Q154" s="6"/>
    </row>
    <row r="155" spans="2:17" ht="17.100000000000001" customHeight="1" x14ac:dyDescent="0.25">
      <c r="B155" s="4"/>
      <c r="C155" s="365" t="s">
        <v>323</v>
      </c>
      <c r="D155" s="366" t="s">
        <v>323</v>
      </c>
      <c r="E155" s="366" t="s">
        <v>323</v>
      </c>
      <c r="F155" s="367" t="s">
        <v>323</v>
      </c>
      <c r="G155" s="194">
        <v>1</v>
      </c>
      <c r="H155" s="194">
        <v>1</v>
      </c>
      <c r="I155" s="194">
        <v>1</v>
      </c>
      <c r="J155" s="194">
        <v>25</v>
      </c>
      <c r="K155" s="143"/>
      <c r="L155" s="143"/>
      <c r="M155" s="143"/>
      <c r="N155" s="143"/>
      <c r="O155" s="143"/>
      <c r="P155" s="143"/>
      <c r="Q155" s="6"/>
    </row>
    <row r="156" spans="2:17" ht="17.100000000000001" customHeight="1" x14ac:dyDescent="0.25">
      <c r="B156" s="4"/>
      <c r="C156" s="362" t="s">
        <v>324</v>
      </c>
      <c r="D156" s="363" t="s">
        <v>324</v>
      </c>
      <c r="E156" s="363" t="s">
        <v>324</v>
      </c>
      <c r="F156" s="364" t="s">
        <v>324</v>
      </c>
      <c r="G156" s="195">
        <v>6</v>
      </c>
      <c r="H156" s="195">
        <v>6</v>
      </c>
      <c r="I156" s="194">
        <v>0.25</v>
      </c>
      <c r="J156" s="194">
        <v>10</v>
      </c>
      <c r="K156" s="143"/>
      <c r="L156" s="143"/>
      <c r="M156" s="143"/>
      <c r="N156" s="143"/>
      <c r="O156" s="143"/>
      <c r="P156" s="143"/>
      <c r="Q156" s="6"/>
    </row>
    <row r="157" spans="2:17" ht="17.100000000000001" customHeight="1" x14ac:dyDescent="0.25">
      <c r="B157" s="4"/>
      <c r="C157" s="362" t="s">
        <v>325</v>
      </c>
      <c r="D157" s="363" t="s">
        <v>325</v>
      </c>
      <c r="E157" s="363" t="s">
        <v>325</v>
      </c>
      <c r="F157" s="364" t="s">
        <v>325</v>
      </c>
      <c r="G157" s="195">
        <v>6</v>
      </c>
      <c r="H157" s="195">
        <v>6</v>
      </c>
      <c r="I157" s="195">
        <v>6</v>
      </c>
      <c r="J157" s="354">
        <v>25</v>
      </c>
      <c r="K157" s="143"/>
      <c r="L157" s="143"/>
      <c r="M157" s="143"/>
      <c r="N157" s="143"/>
      <c r="O157" s="143"/>
      <c r="P157" s="143"/>
      <c r="Q157" s="6"/>
    </row>
    <row r="158" spans="2:17" ht="17.100000000000001" customHeight="1" x14ac:dyDescent="0.25">
      <c r="B158" s="4"/>
      <c r="C158" s="362" t="s">
        <v>326</v>
      </c>
      <c r="D158" s="363" t="s">
        <v>326</v>
      </c>
      <c r="E158" s="363" t="s">
        <v>326</v>
      </c>
      <c r="F158" s="364" t="s">
        <v>326</v>
      </c>
      <c r="G158" s="195">
        <v>6</v>
      </c>
      <c r="H158" s="195">
        <v>6</v>
      </c>
      <c r="I158" s="195">
        <v>6</v>
      </c>
      <c r="J158" s="354">
        <v>25</v>
      </c>
      <c r="K158" s="143"/>
      <c r="L158" s="143"/>
      <c r="M158" s="143"/>
      <c r="N158" s="143"/>
      <c r="O158" s="143"/>
      <c r="P158" s="143"/>
      <c r="Q158" s="6"/>
    </row>
    <row r="159" spans="2:17" ht="17.100000000000001" customHeight="1" x14ac:dyDescent="0.25">
      <c r="B159" s="4"/>
      <c r="C159" s="362" t="s">
        <v>327</v>
      </c>
      <c r="D159" s="363" t="s">
        <v>327</v>
      </c>
      <c r="E159" s="363" t="s">
        <v>327</v>
      </c>
      <c r="F159" s="364" t="s">
        <v>327</v>
      </c>
      <c r="G159" s="195">
        <v>6</v>
      </c>
      <c r="H159" s="195">
        <v>6</v>
      </c>
      <c r="I159" s="195">
        <v>6</v>
      </c>
      <c r="J159" s="354">
        <v>25</v>
      </c>
      <c r="K159" s="143"/>
      <c r="L159" s="143"/>
      <c r="M159" s="143"/>
      <c r="N159" s="143"/>
      <c r="O159" s="143"/>
      <c r="P159" s="143"/>
      <c r="Q159" s="6"/>
    </row>
    <row r="160" spans="2:17" ht="17.100000000000001" customHeight="1" x14ac:dyDescent="0.25">
      <c r="B160" s="4"/>
      <c r="C160" s="362" t="s">
        <v>328</v>
      </c>
      <c r="D160" s="363" t="s">
        <v>328</v>
      </c>
      <c r="E160" s="363" t="s">
        <v>328</v>
      </c>
      <c r="F160" s="364" t="s">
        <v>328</v>
      </c>
      <c r="G160" s="195">
        <v>6</v>
      </c>
      <c r="H160" s="195">
        <v>6</v>
      </c>
      <c r="I160" s="195">
        <v>6</v>
      </c>
      <c r="J160" s="354">
        <v>25</v>
      </c>
      <c r="K160" s="143"/>
      <c r="L160" s="143"/>
      <c r="M160" s="143"/>
      <c r="N160" s="143"/>
      <c r="O160" s="143"/>
      <c r="P160" s="143"/>
      <c r="Q160" s="6"/>
    </row>
    <row r="161" spans="2:17" ht="17.100000000000001" customHeight="1" x14ac:dyDescent="0.25">
      <c r="B161" s="4"/>
      <c r="C161" s="362" t="s">
        <v>329</v>
      </c>
      <c r="D161" s="363" t="s">
        <v>329</v>
      </c>
      <c r="E161" s="363" t="s">
        <v>329</v>
      </c>
      <c r="F161" s="364" t="s">
        <v>329</v>
      </c>
      <c r="G161" s="195">
        <v>6</v>
      </c>
      <c r="H161" s="195">
        <v>6</v>
      </c>
      <c r="I161" s="195">
        <v>6</v>
      </c>
      <c r="J161" s="354">
        <v>25</v>
      </c>
      <c r="K161" s="143"/>
      <c r="L161" s="143"/>
      <c r="M161" s="143"/>
      <c r="N161" s="143"/>
      <c r="O161" s="143"/>
      <c r="P161" s="143"/>
      <c r="Q161" s="6"/>
    </row>
    <row r="162" spans="2:17" ht="17.100000000000001" customHeight="1" x14ac:dyDescent="0.25">
      <c r="B162" s="4"/>
      <c r="C162" s="365" t="s">
        <v>330</v>
      </c>
      <c r="D162" s="366" t="s">
        <v>330</v>
      </c>
      <c r="E162" s="366" t="s">
        <v>330</v>
      </c>
      <c r="F162" s="367" t="s">
        <v>330</v>
      </c>
      <c r="G162" s="194">
        <v>3</v>
      </c>
      <c r="H162" s="194">
        <v>0.5</v>
      </c>
      <c r="I162" s="194">
        <v>0.5</v>
      </c>
      <c r="J162" s="194">
        <v>25</v>
      </c>
      <c r="K162" s="143"/>
      <c r="L162" s="143"/>
      <c r="M162" s="143"/>
      <c r="N162" s="143"/>
      <c r="O162" s="143"/>
      <c r="P162" s="143"/>
      <c r="Q162" s="6"/>
    </row>
    <row r="163" spans="2:17" ht="17.100000000000001" customHeight="1" x14ac:dyDescent="0.25">
      <c r="B163" s="4"/>
      <c r="C163" s="362" t="s">
        <v>331</v>
      </c>
      <c r="D163" s="363" t="s">
        <v>331</v>
      </c>
      <c r="E163" s="363" t="s">
        <v>331</v>
      </c>
      <c r="F163" s="364" t="s">
        <v>331</v>
      </c>
      <c r="G163" s="195">
        <v>6</v>
      </c>
      <c r="H163" s="195">
        <v>6</v>
      </c>
      <c r="I163" s="195">
        <v>6</v>
      </c>
      <c r="J163" s="354">
        <v>25</v>
      </c>
      <c r="K163" s="143"/>
      <c r="L163" s="143"/>
      <c r="M163" s="143"/>
      <c r="N163" s="143"/>
      <c r="O163" s="143"/>
      <c r="P163" s="143"/>
      <c r="Q163" s="6"/>
    </row>
    <row r="164" spans="2:17" ht="17.100000000000001" customHeight="1" x14ac:dyDescent="0.25">
      <c r="B164" s="4"/>
      <c r="C164" s="362" t="s">
        <v>332</v>
      </c>
      <c r="D164" s="363" t="s">
        <v>332</v>
      </c>
      <c r="E164" s="363" t="s">
        <v>332</v>
      </c>
      <c r="F164" s="364" t="s">
        <v>332</v>
      </c>
      <c r="G164" s="195">
        <v>6</v>
      </c>
      <c r="H164" s="195">
        <v>6</v>
      </c>
      <c r="I164" s="195">
        <v>6</v>
      </c>
      <c r="J164" s="354">
        <v>25</v>
      </c>
      <c r="K164" s="143"/>
      <c r="L164" s="143"/>
      <c r="M164" s="143"/>
      <c r="N164" s="143"/>
      <c r="O164" s="143"/>
      <c r="P164" s="143"/>
      <c r="Q164" s="6"/>
    </row>
    <row r="165" spans="2:17" ht="20.100000000000001" customHeight="1" x14ac:dyDescent="0.25">
      <c r="B165" s="4"/>
      <c r="C165" s="365" t="s">
        <v>333</v>
      </c>
      <c r="D165" s="366" t="s">
        <v>333</v>
      </c>
      <c r="E165" s="366" t="s">
        <v>333</v>
      </c>
      <c r="F165" s="367" t="s">
        <v>333</v>
      </c>
      <c r="G165" s="194">
        <v>1</v>
      </c>
      <c r="H165" s="194">
        <v>1</v>
      </c>
      <c r="I165" s="194">
        <v>0.25</v>
      </c>
      <c r="J165" s="194">
        <v>10</v>
      </c>
      <c r="K165" s="143"/>
      <c r="L165" s="143"/>
      <c r="M165" s="143"/>
      <c r="N165" s="143"/>
      <c r="O165" s="143"/>
      <c r="P165" s="143"/>
      <c r="Q165" s="6"/>
    </row>
    <row r="166" spans="2:17" ht="20.55" customHeight="1" x14ac:dyDescent="0.25">
      <c r="B166" s="4"/>
      <c r="C166" s="362" t="s">
        <v>334</v>
      </c>
      <c r="D166" s="363" t="s">
        <v>334</v>
      </c>
      <c r="E166" s="363" t="s">
        <v>334</v>
      </c>
      <c r="F166" s="364" t="s">
        <v>334</v>
      </c>
      <c r="G166" s="195">
        <v>6</v>
      </c>
      <c r="H166" s="195">
        <v>6</v>
      </c>
      <c r="I166" s="195">
        <v>6</v>
      </c>
      <c r="J166" s="354">
        <v>25</v>
      </c>
      <c r="K166" s="143"/>
      <c r="L166" s="143"/>
      <c r="M166" s="143"/>
      <c r="N166" s="143"/>
      <c r="O166" s="143"/>
      <c r="P166" s="143"/>
      <c r="Q166" s="6"/>
    </row>
    <row r="167" spans="2:17" ht="16.05" customHeight="1" x14ac:dyDescent="0.25">
      <c r="B167" s="4"/>
      <c r="C167" s="362" t="s">
        <v>335</v>
      </c>
      <c r="D167" s="363" t="s">
        <v>335</v>
      </c>
      <c r="E167" s="363" t="s">
        <v>335</v>
      </c>
      <c r="F167" s="364" t="s">
        <v>335</v>
      </c>
      <c r="G167" s="195">
        <v>6</v>
      </c>
      <c r="H167" s="195">
        <v>6</v>
      </c>
      <c r="I167" s="195">
        <v>6</v>
      </c>
      <c r="J167" s="354">
        <v>25</v>
      </c>
      <c r="K167" s="143"/>
      <c r="L167" s="143"/>
      <c r="M167" s="143"/>
      <c r="N167" s="143"/>
      <c r="O167" s="143"/>
      <c r="P167" s="143"/>
      <c r="Q167" s="6"/>
    </row>
    <row r="168" spans="2:17" ht="17.55" customHeight="1" x14ac:dyDescent="0.25">
      <c r="B168" s="4"/>
      <c r="C168" s="362" t="s">
        <v>336</v>
      </c>
      <c r="D168" s="363" t="s">
        <v>336</v>
      </c>
      <c r="E168" s="363" t="s">
        <v>336</v>
      </c>
      <c r="F168" s="364" t="s">
        <v>336</v>
      </c>
      <c r="G168" s="195">
        <v>6</v>
      </c>
      <c r="H168" s="195">
        <v>6</v>
      </c>
      <c r="I168" s="195">
        <v>6</v>
      </c>
      <c r="J168" s="354">
        <v>25</v>
      </c>
      <c r="K168" s="143"/>
      <c r="L168" s="143"/>
      <c r="M168" s="143"/>
      <c r="N168" s="143"/>
      <c r="O168" s="143"/>
      <c r="P168" s="143"/>
      <c r="Q168" s="6"/>
    </row>
    <row r="169" spans="2:17" ht="18.600000000000001" customHeight="1" x14ac:dyDescent="0.25">
      <c r="B169" s="4"/>
      <c r="C169" s="362" t="s">
        <v>337</v>
      </c>
      <c r="D169" s="363" t="s">
        <v>337</v>
      </c>
      <c r="E169" s="363" t="s">
        <v>337</v>
      </c>
      <c r="F169" s="364" t="s">
        <v>337</v>
      </c>
      <c r="G169" s="195">
        <v>6</v>
      </c>
      <c r="H169" s="195">
        <v>6</v>
      </c>
      <c r="I169" s="195">
        <v>6</v>
      </c>
      <c r="J169" s="354">
        <v>25</v>
      </c>
      <c r="K169" s="143"/>
      <c r="L169" s="143"/>
      <c r="M169" s="143"/>
      <c r="N169" s="143"/>
      <c r="O169" s="143"/>
      <c r="P169" s="143"/>
      <c r="Q169" s="6"/>
    </row>
    <row r="170" spans="2:17" ht="31.05" customHeight="1" x14ac:dyDescent="0.25">
      <c r="B170" s="4"/>
      <c r="C170" s="365" t="s">
        <v>338</v>
      </c>
      <c r="D170" s="366" t="s">
        <v>338</v>
      </c>
      <c r="E170" s="366" t="s">
        <v>338</v>
      </c>
      <c r="F170" s="367" t="s">
        <v>338</v>
      </c>
      <c r="G170" s="194">
        <v>2</v>
      </c>
      <c r="H170" s="194">
        <v>2</v>
      </c>
      <c r="I170" s="194">
        <v>2</v>
      </c>
      <c r="J170" s="194">
        <v>25</v>
      </c>
      <c r="K170" s="143"/>
      <c r="L170" s="143"/>
      <c r="M170" s="143"/>
      <c r="N170" s="143"/>
      <c r="O170" s="143"/>
      <c r="P170" s="143"/>
      <c r="Q170" s="6"/>
    </row>
    <row r="171" spans="2:17" ht="17.100000000000001" customHeight="1" x14ac:dyDescent="0.25">
      <c r="B171" s="4"/>
      <c r="C171" s="385" t="s">
        <v>339</v>
      </c>
      <c r="D171" s="385" t="s">
        <v>339</v>
      </c>
      <c r="E171" s="385" t="s">
        <v>339</v>
      </c>
      <c r="F171" s="385" t="s">
        <v>339</v>
      </c>
      <c r="G171" s="195">
        <v>6</v>
      </c>
      <c r="H171" s="195">
        <v>6</v>
      </c>
      <c r="I171" s="195">
        <v>6</v>
      </c>
      <c r="J171" s="354">
        <v>25</v>
      </c>
      <c r="K171" s="143"/>
      <c r="L171" s="143"/>
      <c r="M171" s="143"/>
      <c r="N171" s="143"/>
      <c r="O171" s="143"/>
      <c r="P171" s="143"/>
      <c r="Q171" s="6"/>
    </row>
    <row r="172" spans="2:17" ht="17.100000000000001" customHeight="1" x14ac:dyDescent="0.25">
      <c r="B172" s="4"/>
      <c r="C172" s="386" t="s">
        <v>340</v>
      </c>
      <c r="D172" s="386" t="s">
        <v>340</v>
      </c>
      <c r="E172" s="386" t="s">
        <v>340</v>
      </c>
      <c r="F172" s="386" t="s">
        <v>340</v>
      </c>
      <c r="G172" s="194">
        <v>5</v>
      </c>
      <c r="H172" s="194">
        <v>0.4</v>
      </c>
      <c r="I172" s="194">
        <v>0.25</v>
      </c>
      <c r="J172" s="194">
        <v>10</v>
      </c>
      <c r="K172" s="143"/>
      <c r="L172" s="143"/>
      <c r="M172" s="143"/>
      <c r="N172" s="143"/>
      <c r="O172" s="143"/>
      <c r="P172" s="143"/>
      <c r="Q172" s="6"/>
    </row>
    <row r="173" spans="2:17" ht="18.600000000000001" customHeight="1" x14ac:dyDescent="0.25">
      <c r="B173" s="4"/>
      <c r="C173" s="385" t="s">
        <v>341</v>
      </c>
      <c r="D173" s="385" t="s">
        <v>341</v>
      </c>
      <c r="E173" s="385" t="s">
        <v>341</v>
      </c>
      <c r="F173" s="385" t="s">
        <v>341</v>
      </c>
      <c r="G173" s="195">
        <v>6</v>
      </c>
      <c r="H173" s="195">
        <v>6</v>
      </c>
      <c r="I173" s="195">
        <v>6</v>
      </c>
      <c r="J173" s="354">
        <v>25</v>
      </c>
      <c r="K173" s="143"/>
      <c r="L173" s="143"/>
      <c r="M173" s="143"/>
      <c r="N173" s="143"/>
      <c r="O173" s="143"/>
      <c r="P173" s="143"/>
      <c r="Q173" s="6"/>
    </row>
    <row r="174" spans="2:17" ht="18.600000000000001" customHeight="1" x14ac:dyDescent="0.25">
      <c r="B174" s="4"/>
      <c r="C174" s="385" t="s">
        <v>342</v>
      </c>
      <c r="D174" s="385" t="s">
        <v>342</v>
      </c>
      <c r="E174" s="385" t="s">
        <v>342</v>
      </c>
      <c r="F174" s="385" t="s">
        <v>342</v>
      </c>
      <c r="G174" s="195">
        <v>6</v>
      </c>
      <c r="H174" s="195">
        <v>6</v>
      </c>
      <c r="I174" s="195">
        <v>6</v>
      </c>
      <c r="J174" s="354">
        <v>25</v>
      </c>
      <c r="K174" s="143"/>
      <c r="L174" s="143"/>
      <c r="M174" s="143"/>
      <c r="N174" s="143"/>
      <c r="O174" s="143"/>
      <c r="P174" s="143"/>
      <c r="Q174" s="6"/>
    </row>
    <row r="175" spans="2:17" ht="18.600000000000001" customHeight="1" x14ac:dyDescent="0.25">
      <c r="B175" s="4"/>
      <c r="C175" s="362" t="s">
        <v>343</v>
      </c>
      <c r="D175" s="363" t="s">
        <v>343</v>
      </c>
      <c r="E175" s="363" t="s">
        <v>343</v>
      </c>
      <c r="F175" s="364" t="s">
        <v>343</v>
      </c>
      <c r="G175" s="195">
        <v>6</v>
      </c>
      <c r="H175" s="195">
        <v>6</v>
      </c>
      <c r="I175" s="195">
        <v>6</v>
      </c>
      <c r="J175" s="354">
        <v>25</v>
      </c>
      <c r="K175" s="143"/>
      <c r="L175" s="143"/>
      <c r="M175" s="143"/>
      <c r="N175" s="143"/>
      <c r="O175" s="143"/>
      <c r="P175" s="143"/>
      <c r="Q175" s="6"/>
    </row>
    <row r="176" spans="2:17" ht="18.600000000000001" customHeight="1" x14ac:dyDescent="0.25">
      <c r="B176" s="4"/>
      <c r="C176" s="362" t="s">
        <v>344</v>
      </c>
      <c r="D176" s="363" t="s">
        <v>344</v>
      </c>
      <c r="E176" s="363" t="s">
        <v>344</v>
      </c>
      <c r="F176" s="364" t="s">
        <v>344</v>
      </c>
      <c r="G176" s="195">
        <v>6</v>
      </c>
      <c r="H176" s="195">
        <v>6</v>
      </c>
      <c r="I176" s="195">
        <v>6</v>
      </c>
      <c r="J176" s="354">
        <v>25</v>
      </c>
      <c r="K176" s="143"/>
      <c r="L176" s="143"/>
      <c r="M176" s="143"/>
      <c r="N176" s="143"/>
      <c r="O176" s="143"/>
      <c r="P176" s="143"/>
      <c r="Q176" s="6"/>
    </row>
    <row r="177" spans="2:18" ht="18.600000000000001" customHeight="1" x14ac:dyDescent="0.25">
      <c r="B177" s="4"/>
      <c r="C177" s="362" t="s">
        <v>345</v>
      </c>
      <c r="D177" s="363" t="s">
        <v>345</v>
      </c>
      <c r="E177" s="363" t="s">
        <v>345</v>
      </c>
      <c r="F177" s="364" t="s">
        <v>345</v>
      </c>
      <c r="G177" s="195">
        <v>6</v>
      </c>
      <c r="H177" s="195">
        <v>6</v>
      </c>
      <c r="I177" s="195">
        <v>6</v>
      </c>
      <c r="J177" s="354">
        <v>25</v>
      </c>
      <c r="K177" s="143"/>
      <c r="L177" s="143"/>
      <c r="M177" s="143"/>
      <c r="N177" s="143"/>
      <c r="O177" s="143"/>
      <c r="P177" s="143"/>
      <c r="Q177" s="6"/>
    </row>
    <row r="178" spans="2:18" ht="18.600000000000001" customHeight="1" x14ac:dyDescent="0.25">
      <c r="B178" s="4"/>
      <c r="C178" s="362" t="s">
        <v>346</v>
      </c>
      <c r="D178" s="363" t="s">
        <v>346</v>
      </c>
      <c r="E178" s="363" t="s">
        <v>346</v>
      </c>
      <c r="F178" s="364" t="s">
        <v>346</v>
      </c>
      <c r="G178" s="195">
        <v>6</v>
      </c>
      <c r="H178" s="195">
        <v>6</v>
      </c>
      <c r="I178" s="195">
        <v>6</v>
      </c>
      <c r="J178" s="354">
        <v>25</v>
      </c>
      <c r="K178" s="143"/>
      <c r="L178" s="143"/>
      <c r="M178" s="143"/>
      <c r="N178" s="143"/>
      <c r="O178" s="143"/>
      <c r="P178" s="143"/>
      <c r="Q178" s="6"/>
    </row>
    <row r="179" spans="2:18" ht="29.1" customHeight="1" x14ac:dyDescent="0.25">
      <c r="B179" s="4"/>
      <c r="C179" s="386" t="s">
        <v>347</v>
      </c>
      <c r="D179" s="386" t="s">
        <v>347</v>
      </c>
      <c r="E179" s="386" t="s">
        <v>347</v>
      </c>
      <c r="F179" s="386" t="s">
        <v>347</v>
      </c>
      <c r="G179" s="194">
        <v>1</v>
      </c>
      <c r="H179" s="194">
        <v>1</v>
      </c>
      <c r="I179" s="194">
        <v>0.25</v>
      </c>
      <c r="J179" s="194">
        <v>10</v>
      </c>
      <c r="K179" s="143"/>
      <c r="L179" s="143"/>
      <c r="M179" s="143"/>
      <c r="N179" s="143"/>
      <c r="O179" s="143"/>
      <c r="P179" s="143"/>
      <c r="Q179" s="6"/>
    </row>
    <row r="180" spans="2:18" ht="20.55" customHeight="1" x14ac:dyDescent="0.25">
      <c r="B180" s="4"/>
      <c r="C180" s="368" t="s">
        <v>348</v>
      </c>
      <c r="D180" s="368" t="s">
        <v>348</v>
      </c>
      <c r="E180" s="368" t="s">
        <v>348</v>
      </c>
      <c r="F180" s="368" t="s">
        <v>348</v>
      </c>
      <c r="G180" s="348">
        <v>0.5</v>
      </c>
      <c r="H180" s="348">
        <v>0.5</v>
      </c>
      <c r="I180" s="194">
        <v>0.25</v>
      </c>
      <c r="J180" s="194">
        <v>10</v>
      </c>
      <c r="K180" s="143"/>
      <c r="L180" s="143"/>
      <c r="M180" s="143"/>
      <c r="N180" s="143"/>
      <c r="O180" s="143"/>
      <c r="P180" s="143"/>
      <c r="Q180" s="6"/>
    </row>
    <row r="181" spans="2:18" ht="19.05" customHeight="1" x14ac:dyDescent="0.25">
      <c r="B181" s="4"/>
      <c r="C181" s="402"/>
      <c r="D181" s="402"/>
      <c r="E181" s="402"/>
      <c r="F181" s="402"/>
      <c r="G181" s="402"/>
      <c r="H181" s="402"/>
      <c r="I181" s="143"/>
      <c r="J181" s="143"/>
      <c r="K181" s="143"/>
      <c r="L181" s="143"/>
      <c r="M181" s="143"/>
      <c r="N181" s="143"/>
      <c r="O181" s="143"/>
      <c r="P181" s="143"/>
      <c r="Q181" s="6"/>
    </row>
    <row r="182" spans="2:18" ht="16.5" customHeight="1" x14ac:dyDescent="0.25">
      <c r="B182" s="4"/>
      <c r="C182" s="403" t="s">
        <v>122</v>
      </c>
      <c r="D182" s="403"/>
      <c r="E182" s="403"/>
      <c r="F182" s="196"/>
      <c r="G182" s="196"/>
      <c r="H182" s="196"/>
      <c r="I182" s="196"/>
      <c r="J182" s="196"/>
      <c r="K182" s="196"/>
      <c r="L182" s="196"/>
      <c r="M182" s="196"/>
      <c r="N182" s="196"/>
      <c r="O182" s="196"/>
      <c r="P182" s="196"/>
      <c r="Q182" s="6"/>
    </row>
    <row r="183" spans="2:18" ht="56.1" customHeight="1" x14ac:dyDescent="0.25">
      <c r="B183" s="4"/>
      <c r="C183" s="384" t="s">
        <v>570</v>
      </c>
      <c r="D183" s="384"/>
      <c r="E183" s="384"/>
      <c r="F183" s="384"/>
      <c r="G183" s="384"/>
      <c r="H183" s="384"/>
      <c r="I183" s="384"/>
      <c r="J183" s="384"/>
      <c r="K183" s="384"/>
      <c r="L183" s="384"/>
      <c r="M183" s="384"/>
      <c r="N183" s="384"/>
      <c r="O183" s="384"/>
      <c r="P183" s="384"/>
      <c r="Q183" s="6"/>
    </row>
    <row r="184" spans="2:18" ht="18" customHeight="1" x14ac:dyDescent="0.25">
      <c r="B184" s="4"/>
      <c r="C184" s="404" t="s">
        <v>571</v>
      </c>
      <c r="D184" s="404"/>
      <c r="E184" s="404"/>
      <c r="F184" s="404"/>
      <c r="G184" s="404"/>
      <c r="H184" s="404"/>
      <c r="I184" s="404"/>
      <c r="J184" s="404"/>
      <c r="K184" s="404"/>
      <c r="L184" s="404"/>
      <c r="M184" s="404"/>
      <c r="N184" s="404"/>
      <c r="O184" s="404"/>
      <c r="P184" s="404"/>
      <c r="Q184" s="6"/>
    </row>
    <row r="185" spans="2:18" ht="18" customHeight="1" x14ac:dyDescent="0.25">
      <c r="B185" s="4"/>
      <c r="C185" s="405" t="s">
        <v>573</v>
      </c>
      <c r="D185" s="405"/>
      <c r="E185" s="405"/>
      <c r="F185" s="405"/>
      <c r="G185" s="405"/>
      <c r="H185" s="405"/>
      <c r="I185" s="405"/>
      <c r="J185" s="405"/>
      <c r="K185" s="405"/>
      <c r="L185" s="405"/>
      <c r="M185" s="405"/>
      <c r="N185" s="405"/>
      <c r="O185" s="405"/>
      <c r="P185" s="405"/>
      <c r="Q185" s="6"/>
    </row>
    <row r="186" spans="2:18" ht="18" customHeight="1" x14ac:dyDescent="0.25">
      <c r="B186" s="4"/>
      <c r="C186" s="405" t="s">
        <v>572</v>
      </c>
      <c r="D186" s="405"/>
      <c r="E186" s="405"/>
      <c r="F186" s="405"/>
      <c r="G186" s="405"/>
      <c r="H186" s="405"/>
      <c r="I186" s="405"/>
      <c r="J186" s="405"/>
      <c r="K186" s="405"/>
      <c r="L186" s="405"/>
      <c r="M186" s="405"/>
      <c r="N186" s="405"/>
      <c r="O186" s="405"/>
      <c r="P186" s="405"/>
      <c r="Q186" s="6"/>
    </row>
    <row r="187" spans="2:18" ht="18" customHeight="1" x14ac:dyDescent="0.25">
      <c r="B187" s="4"/>
      <c r="C187" s="405" t="s">
        <v>574</v>
      </c>
      <c r="D187" s="405"/>
      <c r="E187" s="405"/>
      <c r="F187" s="405"/>
      <c r="G187" s="405"/>
      <c r="H187" s="405"/>
      <c r="I187" s="405"/>
      <c r="J187" s="405"/>
      <c r="K187" s="405"/>
      <c r="L187" s="405"/>
      <c r="M187" s="405"/>
      <c r="N187" s="405"/>
      <c r="O187" s="405"/>
      <c r="P187" s="405"/>
      <c r="Q187" s="6"/>
    </row>
    <row r="188" spans="2:18" ht="21" customHeight="1" x14ac:dyDescent="0.25">
      <c r="B188" s="4"/>
      <c r="C188" s="361" t="s">
        <v>617</v>
      </c>
      <c r="D188" s="361"/>
      <c r="E188" s="361"/>
      <c r="F188" s="361"/>
      <c r="G188" s="361"/>
      <c r="H188" s="361"/>
      <c r="I188" s="361"/>
      <c r="J188" s="361"/>
      <c r="K188" s="361"/>
      <c r="L188" s="361"/>
      <c r="M188" s="361"/>
      <c r="N188" s="361"/>
      <c r="O188" s="361"/>
      <c r="P188" s="361"/>
      <c r="Q188" s="6"/>
    </row>
    <row r="189" spans="2:18" ht="8.1" customHeight="1" x14ac:dyDescent="0.25">
      <c r="B189" s="4"/>
      <c r="C189" s="197"/>
      <c r="D189" s="197"/>
      <c r="E189" s="197"/>
      <c r="F189" s="197"/>
      <c r="G189" s="197"/>
      <c r="H189" s="197"/>
      <c r="I189" s="197"/>
      <c r="J189" s="197"/>
      <c r="K189" s="197"/>
      <c r="L189" s="197"/>
      <c r="M189" s="197"/>
      <c r="N189" s="197"/>
      <c r="O189" s="197"/>
      <c r="P189" s="197"/>
      <c r="Q189" s="6"/>
    </row>
    <row r="190" spans="2:18" ht="28.05" customHeight="1" x14ac:dyDescent="0.25">
      <c r="B190" s="4"/>
      <c r="C190" s="388" t="s">
        <v>75</v>
      </c>
      <c r="D190" s="388"/>
      <c r="E190" s="388"/>
      <c r="F190" s="388"/>
      <c r="G190" s="388"/>
      <c r="H190" s="412"/>
      <c r="I190" s="387" t="s">
        <v>350</v>
      </c>
      <c r="J190" s="388"/>
      <c r="K190" s="388"/>
      <c r="L190" s="388"/>
      <c r="M190" s="388"/>
      <c r="N190" s="387" t="s">
        <v>349</v>
      </c>
      <c r="O190" s="388"/>
      <c r="P190" s="388"/>
      <c r="Q190" s="6"/>
    </row>
    <row r="191" spans="2:18" ht="14.1" customHeight="1" x14ac:dyDescent="0.25">
      <c r="B191" s="4"/>
      <c r="C191" s="143" t="s">
        <v>91</v>
      </c>
      <c r="D191" s="143" t="s">
        <v>92</v>
      </c>
      <c r="E191" s="400" t="s">
        <v>93</v>
      </c>
      <c r="F191" s="400"/>
      <c r="G191" s="400"/>
      <c r="H191" s="401"/>
      <c r="I191" s="143" t="s">
        <v>91</v>
      </c>
      <c r="J191" s="143" t="s">
        <v>92</v>
      </c>
      <c r="K191" s="400" t="s">
        <v>93</v>
      </c>
      <c r="L191" s="400"/>
      <c r="M191" s="401"/>
      <c r="N191" s="143" t="s">
        <v>351</v>
      </c>
      <c r="O191" s="143" t="s">
        <v>92</v>
      </c>
      <c r="P191" s="143" t="s">
        <v>93</v>
      </c>
      <c r="Q191" s="6"/>
    </row>
    <row r="192" spans="2:18" ht="13.05" customHeight="1" x14ac:dyDescent="0.25">
      <c r="B192" s="4"/>
      <c r="C192" s="198"/>
      <c r="D192" s="145">
        <v>3</v>
      </c>
      <c r="E192" s="361" t="s">
        <v>96</v>
      </c>
      <c r="F192" s="361"/>
      <c r="G192" s="361"/>
      <c r="H192" s="397"/>
      <c r="I192" s="199"/>
      <c r="J192" s="145">
        <v>1</v>
      </c>
      <c r="K192" s="395" t="s">
        <v>94</v>
      </c>
      <c r="L192" s="395"/>
      <c r="M192" s="396"/>
      <c r="N192" s="200"/>
      <c r="O192" s="145">
        <v>17</v>
      </c>
      <c r="P192" s="143" t="s">
        <v>110</v>
      </c>
      <c r="Q192" s="71"/>
      <c r="R192" s="69"/>
    </row>
    <row r="193" spans="2:18" ht="14.55" customHeight="1" x14ac:dyDescent="0.25">
      <c r="B193" s="4"/>
      <c r="C193" s="201"/>
      <c r="D193" s="145">
        <v>4</v>
      </c>
      <c r="E193" s="361" t="s">
        <v>97</v>
      </c>
      <c r="F193" s="361"/>
      <c r="G193" s="361"/>
      <c r="H193" s="397"/>
      <c r="I193" s="202"/>
      <c r="J193" s="145">
        <v>2</v>
      </c>
      <c r="K193" s="395" t="s">
        <v>95</v>
      </c>
      <c r="L193" s="395"/>
      <c r="M193" s="396"/>
      <c r="N193" s="203"/>
      <c r="O193" s="145">
        <v>18</v>
      </c>
      <c r="P193" s="143" t="s">
        <v>111</v>
      </c>
      <c r="Q193" s="71"/>
      <c r="R193" s="69"/>
    </row>
    <row r="194" spans="2:18" ht="15.6" customHeight="1" x14ac:dyDescent="0.25">
      <c r="B194" s="4"/>
      <c r="C194" s="204"/>
      <c r="D194" s="145">
        <v>5</v>
      </c>
      <c r="E194" s="361" t="s">
        <v>98</v>
      </c>
      <c r="F194" s="361"/>
      <c r="G194" s="361"/>
      <c r="H194" s="397"/>
      <c r="I194" s="205"/>
      <c r="J194" s="145">
        <v>8</v>
      </c>
      <c r="K194" s="395" t="s">
        <v>101</v>
      </c>
      <c r="L194" s="395"/>
      <c r="M194" s="396"/>
      <c r="N194" s="206"/>
      <c r="O194" s="145">
        <v>19</v>
      </c>
      <c r="P194" s="143" t="s">
        <v>112</v>
      </c>
      <c r="Q194" s="71"/>
      <c r="R194" s="69"/>
    </row>
    <row r="195" spans="2:18" ht="15.6" customHeight="1" x14ac:dyDescent="0.25">
      <c r="B195" s="4"/>
      <c r="C195" s="207"/>
      <c r="D195" s="145">
        <v>6</v>
      </c>
      <c r="E195" s="361" t="s">
        <v>99</v>
      </c>
      <c r="F195" s="361"/>
      <c r="G195" s="361"/>
      <c r="H195" s="397"/>
      <c r="I195" s="208"/>
      <c r="J195" s="145">
        <v>9</v>
      </c>
      <c r="K195" s="395" t="s">
        <v>102</v>
      </c>
      <c r="L195" s="395"/>
      <c r="M195" s="396"/>
      <c r="N195" s="68"/>
      <c r="O195" s="68"/>
      <c r="P195" s="68"/>
      <c r="Q195" s="6"/>
    </row>
    <row r="196" spans="2:18" ht="15.6" x14ac:dyDescent="0.25">
      <c r="B196" s="4"/>
      <c r="C196" s="209"/>
      <c r="D196" s="145">
        <v>7</v>
      </c>
      <c r="E196" s="361" t="s">
        <v>100</v>
      </c>
      <c r="F196" s="361"/>
      <c r="G196" s="361"/>
      <c r="H196" s="397"/>
      <c r="I196" s="210"/>
      <c r="J196" s="144">
        <v>15</v>
      </c>
      <c r="K196" s="398" t="s">
        <v>108</v>
      </c>
      <c r="L196" s="398"/>
      <c r="M196" s="399"/>
      <c r="N196" s="49"/>
      <c r="O196" s="49"/>
      <c r="P196" s="49"/>
      <c r="Q196" s="6"/>
    </row>
    <row r="197" spans="2:18" ht="15" customHeight="1" x14ac:dyDescent="0.25">
      <c r="B197" s="4"/>
      <c r="C197" s="211"/>
      <c r="D197" s="145">
        <v>10</v>
      </c>
      <c r="E197" s="361" t="s">
        <v>103</v>
      </c>
      <c r="F197" s="361"/>
      <c r="G197" s="361"/>
      <c r="H197" s="397"/>
      <c r="I197" s="212"/>
      <c r="J197" s="145">
        <v>16</v>
      </c>
      <c r="K197" s="395" t="s">
        <v>109</v>
      </c>
      <c r="L197" s="395"/>
      <c r="M197" s="396"/>
      <c r="N197" s="68"/>
      <c r="O197" s="68"/>
      <c r="P197" s="68"/>
      <c r="Q197" s="6"/>
    </row>
    <row r="198" spans="2:18" ht="14.55" customHeight="1" x14ac:dyDescent="0.25">
      <c r="B198" s="4"/>
      <c r="C198" s="213"/>
      <c r="D198" s="145">
        <v>11</v>
      </c>
      <c r="E198" s="361" t="s">
        <v>104</v>
      </c>
      <c r="F198" s="361"/>
      <c r="G198" s="361"/>
      <c r="H198" s="397"/>
      <c r="I198" s="214"/>
      <c r="J198" s="145">
        <v>20</v>
      </c>
      <c r="K198" s="361" t="s">
        <v>113</v>
      </c>
      <c r="L198" s="361"/>
      <c r="M198" s="397"/>
      <c r="N198" s="143"/>
      <c r="O198" s="143"/>
      <c r="P198" s="143"/>
      <c r="Q198" s="6"/>
    </row>
    <row r="199" spans="2:18" ht="12.6" customHeight="1" x14ac:dyDescent="0.25">
      <c r="B199" s="4"/>
      <c r="C199" s="215"/>
      <c r="D199" s="145">
        <v>12</v>
      </c>
      <c r="E199" s="361" t="s">
        <v>105</v>
      </c>
      <c r="F199" s="361"/>
      <c r="G199" s="361"/>
      <c r="H199" s="397"/>
      <c r="I199" s="216"/>
      <c r="J199" s="145">
        <v>21</v>
      </c>
      <c r="K199" s="361" t="s">
        <v>114</v>
      </c>
      <c r="L199" s="361"/>
      <c r="M199" s="397"/>
      <c r="N199" s="143"/>
      <c r="O199" s="143"/>
      <c r="P199" s="143"/>
      <c r="Q199" s="6"/>
    </row>
    <row r="200" spans="2:18" ht="14.55" customHeight="1" x14ac:dyDescent="0.25">
      <c r="B200" s="4"/>
      <c r="C200" s="217"/>
      <c r="D200" s="145">
        <v>13</v>
      </c>
      <c r="E200" s="361" t="s">
        <v>106</v>
      </c>
      <c r="F200" s="361"/>
      <c r="G200" s="361"/>
      <c r="H200" s="397"/>
      <c r="I200" s="218"/>
      <c r="J200" s="145">
        <v>22</v>
      </c>
      <c r="K200" s="361" t="s">
        <v>115</v>
      </c>
      <c r="L200" s="361"/>
      <c r="M200" s="397"/>
      <c r="N200" s="143"/>
      <c r="O200" s="143"/>
      <c r="P200" s="143"/>
      <c r="Q200" s="6"/>
    </row>
    <row r="201" spans="2:18" ht="13.5" customHeight="1" x14ac:dyDescent="0.25">
      <c r="B201" s="4"/>
      <c r="C201" s="219"/>
      <c r="D201" s="145">
        <v>14</v>
      </c>
      <c r="E201" s="361" t="s">
        <v>107</v>
      </c>
      <c r="F201" s="361"/>
      <c r="G201" s="361"/>
      <c r="H201" s="397"/>
      <c r="I201" s="220"/>
      <c r="J201" s="145">
        <v>23</v>
      </c>
      <c r="K201" s="395" t="s">
        <v>116</v>
      </c>
      <c r="L201" s="395"/>
      <c r="M201" s="396"/>
      <c r="N201" s="143"/>
      <c r="O201" s="143"/>
      <c r="P201" s="143"/>
      <c r="Q201" s="6"/>
    </row>
    <row r="202" spans="2:18" ht="14.55" customHeight="1" x14ac:dyDescent="0.25">
      <c r="B202" s="4"/>
      <c r="C202" s="143"/>
      <c r="D202" s="145"/>
      <c r="E202" s="361"/>
      <c r="F202" s="361"/>
      <c r="G202" s="361"/>
      <c r="H202" s="397"/>
      <c r="I202" s="221"/>
      <c r="J202" s="145">
        <v>24</v>
      </c>
      <c r="K202" s="361" t="s">
        <v>117</v>
      </c>
      <c r="L202" s="361"/>
      <c r="M202" s="397"/>
      <c r="N202" s="143"/>
      <c r="O202" s="143"/>
      <c r="P202" s="143"/>
      <c r="Q202" s="6"/>
    </row>
    <row r="203" spans="2:18" ht="14.55" customHeight="1" x14ac:dyDescent="0.25">
      <c r="B203" s="4"/>
      <c r="C203" s="143"/>
      <c r="D203" s="145"/>
      <c r="E203" s="143"/>
      <c r="F203" s="143"/>
      <c r="G203" s="143"/>
      <c r="H203" s="222"/>
      <c r="I203" s="223"/>
      <c r="J203" s="145">
        <v>25</v>
      </c>
      <c r="K203" s="361" t="s">
        <v>118</v>
      </c>
      <c r="L203" s="361"/>
      <c r="M203" s="397"/>
      <c r="N203" s="143"/>
      <c r="O203" s="143"/>
      <c r="P203" s="143"/>
      <c r="Q203" s="6"/>
    </row>
    <row r="204" spans="2:18" ht="14.55" customHeight="1" x14ac:dyDescent="0.25">
      <c r="B204" s="4"/>
      <c r="C204" s="143"/>
      <c r="D204" s="145"/>
      <c r="E204" s="143"/>
      <c r="F204" s="143"/>
      <c r="G204" s="143"/>
      <c r="H204" s="222"/>
      <c r="I204" s="224"/>
      <c r="J204" s="145">
        <v>26</v>
      </c>
      <c r="K204" s="361" t="s">
        <v>119</v>
      </c>
      <c r="L204" s="361"/>
      <c r="M204" s="397"/>
      <c r="N204" s="68"/>
      <c r="O204" s="68"/>
      <c r="P204" s="68"/>
      <c r="Q204" s="6"/>
    </row>
    <row r="205" spans="2:18" ht="13.05" customHeight="1" x14ac:dyDescent="0.25">
      <c r="B205" s="4"/>
      <c r="C205" s="143"/>
      <c r="D205" s="143"/>
      <c r="E205" s="143"/>
      <c r="F205" s="143"/>
      <c r="G205" s="143"/>
      <c r="H205" s="222"/>
      <c r="I205" s="225"/>
      <c r="J205" s="145">
        <v>27</v>
      </c>
      <c r="K205" s="361" t="s">
        <v>120</v>
      </c>
      <c r="L205" s="361"/>
      <c r="M205" s="397"/>
      <c r="N205" s="143"/>
      <c r="O205" s="143"/>
      <c r="P205" s="143"/>
      <c r="Q205" s="6"/>
    </row>
    <row r="206" spans="2:18" ht="13.5" customHeight="1" x14ac:dyDescent="0.25">
      <c r="B206" s="4"/>
      <c r="C206" s="143"/>
      <c r="D206" s="143"/>
      <c r="E206" s="143"/>
      <c r="F206" s="143"/>
      <c r="G206" s="143"/>
      <c r="H206" s="143"/>
      <c r="I206" s="226"/>
      <c r="J206" s="226"/>
      <c r="K206" s="226"/>
      <c r="L206" s="226"/>
      <c r="M206" s="226"/>
      <c r="N206" s="143"/>
      <c r="O206" s="143"/>
      <c r="P206" s="143"/>
      <c r="Q206" s="6"/>
    </row>
    <row r="207" spans="2:18" ht="13.5" customHeight="1" x14ac:dyDescent="0.25">
      <c r="B207" s="4"/>
      <c r="C207" s="226"/>
      <c r="D207" s="226"/>
      <c r="E207" s="226"/>
      <c r="F207" s="226"/>
      <c r="G207" s="226"/>
      <c r="H207" s="143"/>
      <c r="I207" s="226"/>
      <c r="J207" s="226"/>
      <c r="K207" s="226"/>
      <c r="L207" s="226"/>
      <c r="M207" s="226"/>
      <c r="N207" s="143"/>
      <c r="O207" s="143"/>
      <c r="P207" s="143"/>
      <c r="Q207" s="6"/>
    </row>
    <row r="208" spans="2:18" ht="22.05" customHeight="1" x14ac:dyDescent="0.25">
      <c r="B208" s="4"/>
      <c r="C208" s="403" t="s">
        <v>452</v>
      </c>
      <c r="D208" s="403"/>
      <c r="E208" s="403"/>
      <c r="F208" s="403"/>
      <c r="G208" s="403"/>
      <c r="H208" s="143"/>
      <c r="I208" s="226"/>
      <c r="J208" s="226"/>
      <c r="K208" s="226"/>
      <c r="L208" s="226"/>
      <c r="M208" s="226"/>
      <c r="N208" s="143"/>
      <c r="O208" s="143"/>
      <c r="P208" s="143"/>
      <c r="Q208" s="6"/>
    </row>
    <row r="209" spans="2:17" ht="24" customHeight="1" x14ac:dyDescent="0.25">
      <c r="B209" s="4"/>
      <c r="C209" s="407" t="s">
        <v>454</v>
      </c>
      <c r="D209" s="407"/>
      <c r="E209" s="407"/>
      <c r="F209" s="407"/>
      <c r="G209" s="407"/>
      <c r="H209" s="407"/>
      <c r="I209" s="407"/>
      <c r="J209" s="407"/>
      <c r="K209" s="407"/>
      <c r="L209" s="407"/>
      <c r="M209" s="407"/>
      <c r="N209" s="407"/>
      <c r="O209" s="407"/>
      <c r="P209" s="407"/>
      <c r="Q209" s="6"/>
    </row>
    <row r="210" spans="2:17" ht="19.5" customHeight="1" x14ac:dyDescent="0.3">
      <c r="B210" s="4"/>
      <c r="C210" s="408" t="s">
        <v>455</v>
      </c>
      <c r="D210" s="408"/>
      <c r="E210" s="408"/>
      <c r="F210" s="408"/>
      <c r="G210" s="408"/>
      <c r="H210" s="408"/>
      <c r="I210" s="408"/>
      <c r="J210" s="408"/>
      <c r="K210" s="408"/>
      <c r="L210" s="408"/>
      <c r="M210" s="408"/>
      <c r="N210" s="408"/>
      <c r="O210" s="227"/>
      <c r="P210" s="143"/>
      <c r="Q210" s="6"/>
    </row>
    <row r="211" spans="2:17" ht="18" customHeight="1" x14ac:dyDescent="0.3">
      <c r="B211" s="4"/>
      <c r="C211" s="409" t="s">
        <v>456</v>
      </c>
      <c r="D211" s="409"/>
      <c r="E211" s="409"/>
      <c r="F211" s="409"/>
      <c r="G211" s="409"/>
      <c r="H211" s="409"/>
      <c r="I211" s="409"/>
      <c r="J211" s="409"/>
      <c r="K211" s="409"/>
      <c r="L211" s="409"/>
      <c r="M211" s="409"/>
      <c r="N211" s="409"/>
      <c r="O211" s="227"/>
      <c r="P211" s="143"/>
      <c r="Q211" s="6"/>
    </row>
    <row r="212" spans="2:17" ht="22.05" customHeight="1" x14ac:dyDescent="0.25">
      <c r="B212" s="4"/>
      <c r="C212" s="410" t="s">
        <v>453</v>
      </c>
      <c r="D212" s="410"/>
      <c r="E212" s="410"/>
      <c r="F212" s="410"/>
      <c r="G212" s="410"/>
      <c r="H212" s="410"/>
      <c r="I212" s="410"/>
      <c r="J212" s="410"/>
      <c r="K212" s="410"/>
      <c r="L212" s="410"/>
      <c r="M212" s="410"/>
      <c r="N212" s="410"/>
      <c r="O212" s="410"/>
      <c r="P212" s="143"/>
      <c r="Q212" s="6"/>
    </row>
    <row r="213" spans="2:17" ht="13.5" customHeight="1" x14ac:dyDescent="0.25">
      <c r="B213" s="4"/>
      <c r="C213" s="143"/>
      <c r="D213" s="143"/>
      <c r="E213" s="143"/>
      <c r="F213" s="143"/>
      <c r="G213" s="143"/>
      <c r="H213" s="143"/>
      <c r="I213" s="226"/>
      <c r="J213" s="226"/>
      <c r="K213" s="226"/>
      <c r="L213" s="226"/>
      <c r="M213" s="226"/>
      <c r="N213" s="143"/>
      <c r="O213" s="143"/>
      <c r="P213" s="143"/>
      <c r="Q213" s="6"/>
    </row>
    <row r="214" spans="2:17" ht="21" customHeight="1" x14ac:dyDescent="0.25">
      <c r="B214" s="4"/>
      <c r="C214" s="411" t="s">
        <v>460</v>
      </c>
      <c r="D214" s="411"/>
      <c r="E214" s="411"/>
      <c r="F214" s="411"/>
      <c r="G214" s="411"/>
      <c r="H214" s="411"/>
      <c r="I214" s="411"/>
      <c r="J214" s="411"/>
      <c r="K214" s="411"/>
      <c r="L214" s="411"/>
      <c r="M214" s="411"/>
      <c r="N214" s="411"/>
      <c r="O214" s="411"/>
      <c r="P214" s="143"/>
      <c r="Q214" s="6"/>
    </row>
    <row r="215" spans="2:17" ht="17.55" customHeight="1" x14ac:dyDescent="0.3">
      <c r="B215" s="4"/>
      <c r="C215" s="407" t="s">
        <v>461</v>
      </c>
      <c r="D215" s="407"/>
      <c r="E215" s="407"/>
      <c r="F215" s="407"/>
      <c r="G215" s="407"/>
      <c r="H215" s="407"/>
      <c r="I215" s="407"/>
      <c r="J215" s="407"/>
      <c r="K215" s="407"/>
      <c r="L215" s="407"/>
      <c r="M215" s="407"/>
      <c r="N215" s="228"/>
      <c r="O215" s="227"/>
      <c r="P215" s="143"/>
      <c r="Q215" s="6"/>
    </row>
    <row r="216" spans="2:17" ht="18" customHeight="1" x14ac:dyDescent="0.3">
      <c r="B216" s="4"/>
      <c r="C216" s="406" t="s">
        <v>457</v>
      </c>
      <c r="D216" s="406"/>
      <c r="E216" s="406"/>
      <c r="F216" s="406"/>
      <c r="G216" s="406"/>
      <c r="H216" s="406"/>
      <c r="I216" s="406"/>
      <c r="J216" s="406"/>
      <c r="K216" s="406"/>
      <c r="L216" s="406"/>
      <c r="M216" s="406"/>
      <c r="N216" s="406"/>
      <c r="O216" s="227"/>
      <c r="P216" s="143"/>
      <c r="Q216" s="6"/>
    </row>
    <row r="217" spans="2:17" ht="13.5" customHeight="1" x14ac:dyDescent="0.3">
      <c r="B217" s="4"/>
      <c r="C217" s="409" t="s">
        <v>458</v>
      </c>
      <c r="D217" s="409"/>
      <c r="E217" s="409"/>
      <c r="F217" s="409"/>
      <c r="G217" s="409"/>
      <c r="H217" s="409"/>
      <c r="I217" s="409"/>
      <c r="J217" s="409"/>
      <c r="K217" s="409"/>
      <c r="L217" s="409"/>
      <c r="M217" s="409"/>
      <c r="N217" s="409"/>
      <c r="O217" s="227"/>
      <c r="P217" s="143"/>
      <c r="Q217" s="6"/>
    </row>
    <row r="218" spans="2:17" ht="16.5" customHeight="1" x14ac:dyDescent="0.3">
      <c r="B218" s="4"/>
      <c r="C218" s="406" t="s">
        <v>459</v>
      </c>
      <c r="D218" s="406"/>
      <c r="E218" s="406"/>
      <c r="F218" s="406"/>
      <c r="G218" s="406"/>
      <c r="H218" s="406"/>
      <c r="I218" s="406"/>
      <c r="J218" s="406"/>
      <c r="K218" s="406"/>
      <c r="L218" s="406"/>
      <c r="M218" s="406"/>
      <c r="N218" s="406"/>
      <c r="O218" s="227"/>
      <c r="P218" s="143"/>
      <c r="Q218" s="6"/>
    </row>
    <row r="219" spans="2:17" ht="13.5" customHeight="1" x14ac:dyDescent="0.25">
      <c r="B219" s="4"/>
      <c r="C219" s="143"/>
      <c r="D219" s="143"/>
      <c r="E219" s="143"/>
      <c r="F219" s="143"/>
      <c r="G219" s="143"/>
      <c r="H219" s="143"/>
      <c r="I219" s="226"/>
      <c r="J219" s="226"/>
      <c r="K219" s="226"/>
      <c r="L219" s="226"/>
      <c r="M219" s="226"/>
      <c r="N219" s="143"/>
      <c r="O219" s="143"/>
      <c r="P219" s="143"/>
      <c r="Q219" s="6"/>
    </row>
    <row r="220" spans="2:17" ht="13.5" customHeight="1" x14ac:dyDescent="0.25">
      <c r="B220" s="4"/>
      <c r="C220" s="143"/>
      <c r="D220" s="143"/>
      <c r="E220" s="143"/>
      <c r="F220" s="143"/>
      <c r="G220" s="143"/>
      <c r="H220" s="143"/>
      <c r="I220" s="226"/>
      <c r="J220" s="226"/>
      <c r="K220" s="226"/>
      <c r="L220" s="226"/>
      <c r="M220" s="226"/>
      <c r="N220" s="143"/>
      <c r="O220" s="143"/>
      <c r="P220" s="143"/>
      <c r="Q220" s="6"/>
    </row>
    <row r="221" spans="2:17" ht="5.25" customHeight="1" x14ac:dyDescent="0.25">
      <c r="B221" s="4"/>
      <c r="C221" s="143"/>
      <c r="D221" s="143"/>
      <c r="E221" s="143"/>
      <c r="F221" s="143"/>
      <c r="G221" s="143"/>
      <c r="H221" s="143"/>
      <c r="I221" s="143"/>
      <c r="J221" s="145"/>
      <c r="K221" s="143"/>
      <c r="L221" s="143"/>
      <c r="M221" s="143"/>
      <c r="N221" s="143"/>
      <c r="O221" s="143"/>
      <c r="P221" s="143"/>
      <c r="Q221" s="6"/>
    </row>
    <row r="222" spans="2:17" ht="5.25" customHeight="1" x14ac:dyDescent="0.25">
      <c r="B222" s="4"/>
      <c r="C222" s="49"/>
      <c r="D222" s="49"/>
      <c r="E222" s="49"/>
      <c r="F222" s="49"/>
      <c r="G222" s="49"/>
      <c r="H222" s="49"/>
      <c r="I222" s="49"/>
      <c r="J222" s="49"/>
      <c r="K222" s="49"/>
      <c r="L222" s="49"/>
      <c r="M222" s="49"/>
      <c r="N222" s="49"/>
      <c r="O222" s="49"/>
      <c r="P222" s="49"/>
      <c r="Q222" s="6"/>
    </row>
    <row r="223" spans="2:17" ht="82.5" customHeight="1" x14ac:dyDescent="0.3">
      <c r="B223" s="4"/>
      <c r="C223" s="229"/>
      <c r="D223" s="68"/>
      <c r="E223" s="68"/>
      <c r="F223" s="68"/>
      <c r="G223" s="68"/>
      <c r="H223" s="371" t="s">
        <v>586</v>
      </c>
      <c r="I223" s="371"/>
      <c r="J223" s="371"/>
      <c r="K223" s="371"/>
      <c r="L223" s="371"/>
      <c r="M223" s="371"/>
      <c r="N223" s="371"/>
      <c r="O223" s="371"/>
      <c r="P223" s="371"/>
      <c r="Q223" s="6"/>
    </row>
    <row r="224" spans="2:17" ht="4.5" customHeight="1" x14ac:dyDescent="0.25">
      <c r="B224" s="4"/>
      <c r="C224" s="12"/>
      <c r="D224" s="12"/>
      <c r="E224" s="12"/>
      <c r="F224" s="12"/>
      <c r="G224" s="12"/>
      <c r="H224" s="12"/>
      <c r="I224" s="12"/>
      <c r="J224" s="12"/>
      <c r="K224" s="12"/>
      <c r="L224" s="12"/>
      <c r="M224" s="12"/>
      <c r="N224" s="12"/>
      <c r="O224" s="12"/>
      <c r="P224" s="12"/>
      <c r="Q224" s="6"/>
    </row>
    <row r="225" spans="2:17" ht="5.25" customHeight="1" x14ac:dyDescent="0.25">
      <c r="B225" s="4"/>
      <c r="C225" s="12"/>
      <c r="D225" s="12"/>
      <c r="E225" s="12"/>
      <c r="F225" s="12"/>
      <c r="G225" s="12"/>
      <c r="H225" s="12"/>
      <c r="I225" s="12"/>
      <c r="J225" s="12"/>
      <c r="K225" s="12"/>
      <c r="L225" s="12"/>
      <c r="M225" s="12"/>
      <c r="N225" s="12"/>
      <c r="O225" s="12"/>
      <c r="P225" s="12"/>
      <c r="Q225" s="6"/>
    </row>
    <row r="226" spans="2:17" ht="3.75" customHeight="1" thickBot="1" x14ac:dyDescent="0.3">
      <c r="B226" s="7"/>
      <c r="C226" s="8"/>
      <c r="D226" s="8"/>
      <c r="E226" s="8"/>
      <c r="F226" s="8"/>
      <c r="G226" s="8"/>
      <c r="H226" s="8"/>
      <c r="I226" s="8"/>
      <c r="J226" s="8"/>
      <c r="K226" s="8"/>
      <c r="L226" s="8"/>
      <c r="M226" s="8"/>
      <c r="N226" s="8"/>
      <c r="O226" s="8"/>
      <c r="P226" s="8"/>
      <c r="Q226" s="9"/>
    </row>
  </sheetData>
  <sheetProtection algorithmName="SHA-512" hashValue="yWHy0ciWehkNfyXe9708H95Scqke8u2e6Si/BxX9tHSaKtfy3X98AFU8fJODc7K62SxeKkJoWqQFzzbDfCbW+w==" saltValue="3QwQw++SS/qso4lJRu1vRQ==" spinCount="100000" sheet="1" selectLockedCells="1"/>
  <mergeCells count="218">
    <mergeCell ref="C54:F54"/>
    <mergeCell ref="C57:F57"/>
    <mergeCell ref="C59:P59"/>
    <mergeCell ref="C61:F61"/>
    <mergeCell ref="E201:H201"/>
    <mergeCell ref="C10:P10"/>
    <mergeCell ref="G86:P86"/>
    <mergeCell ref="C216:N216"/>
    <mergeCell ref="C217:N217"/>
    <mergeCell ref="C65:E65"/>
    <mergeCell ref="C63:P63"/>
    <mergeCell ref="G70:P70"/>
    <mergeCell ref="G71:P71"/>
    <mergeCell ref="G72:P72"/>
    <mergeCell ref="G73:P73"/>
    <mergeCell ref="C70:F70"/>
    <mergeCell ref="C71:F71"/>
    <mergeCell ref="C72:F72"/>
    <mergeCell ref="C73:F73"/>
    <mergeCell ref="C132:F132"/>
    <mergeCell ref="C133:F133"/>
    <mergeCell ref="C134:F134"/>
    <mergeCell ref="C135:F135"/>
    <mergeCell ref="C123:F123"/>
    <mergeCell ref="C218:N218"/>
    <mergeCell ref="C215:M215"/>
    <mergeCell ref="C87:F87"/>
    <mergeCell ref="C208:G208"/>
    <mergeCell ref="C210:N210"/>
    <mergeCell ref="C211:N211"/>
    <mergeCell ref="C209:P209"/>
    <mergeCell ref="C212:O212"/>
    <mergeCell ref="C214:O214"/>
    <mergeCell ref="K192:M192"/>
    <mergeCell ref="E192:H192"/>
    <mergeCell ref="E194:H194"/>
    <mergeCell ref="C190:H190"/>
    <mergeCell ref="K204:M204"/>
    <mergeCell ref="K205:M205"/>
    <mergeCell ref="K202:M202"/>
    <mergeCell ref="K203:M203"/>
    <mergeCell ref="E197:H197"/>
    <mergeCell ref="E198:H198"/>
    <mergeCell ref="E199:H199"/>
    <mergeCell ref="E200:H200"/>
    <mergeCell ref="C102:F102"/>
    <mergeCell ref="C130:F130"/>
    <mergeCell ref="C131:F131"/>
    <mergeCell ref="C125:F125"/>
    <mergeCell ref="C118:F118"/>
    <mergeCell ref="C148:F148"/>
    <mergeCell ref="C163:F163"/>
    <mergeCell ref="C137:F137"/>
    <mergeCell ref="C138:F138"/>
    <mergeCell ref="C128:F128"/>
    <mergeCell ref="C129:F129"/>
    <mergeCell ref="C162:F162"/>
    <mergeCell ref="C145:F145"/>
    <mergeCell ref="C146:F146"/>
    <mergeCell ref="C147:F147"/>
    <mergeCell ref="C177:F177"/>
    <mergeCell ref="C176:F176"/>
    <mergeCell ref="K201:M201"/>
    <mergeCell ref="E202:H202"/>
    <mergeCell ref="K197:M197"/>
    <mergeCell ref="K198:M198"/>
    <mergeCell ref="K200:M200"/>
    <mergeCell ref="K196:M196"/>
    <mergeCell ref="K195:M195"/>
    <mergeCell ref="K199:M199"/>
    <mergeCell ref="E196:H196"/>
    <mergeCell ref="E191:H191"/>
    <mergeCell ref="K193:M193"/>
    <mergeCell ref="K194:M194"/>
    <mergeCell ref="E193:H193"/>
    <mergeCell ref="C181:H181"/>
    <mergeCell ref="E195:H195"/>
    <mergeCell ref="K191:M191"/>
    <mergeCell ref="C182:E182"/>
    <mergeCell ref="C184:P184"/>
    <mergeCell ref="C186:P186"/>
    <mergeCell ref="C185:P185"/>
    <mergeCell ref="C187:P187"/>
    <mergeCell ref="N190:P190"/>
    <mergeCell ref="C7:D7"/>
    <mergeCell ref="C27:D27"/>
    <mergeCell ref="C35:D35"/>
    <mergeCell ref="C38:D38"/>
    <mergeCell ref="E31:L31"/>
    <mergeCell ref="E32:L32"/>
    <mergeCell ref="C29:L29"/>
    <mergeCell ref="C21:M21"/>
    <mergeCell ref="C24:M24"/>
    <mergeCell ref="C25:M25"/>
    <mergeCell ref="C20:P20"/>
    <mergeCell ref="C22:P22"/>
    <mergeCell ref="C23:P23"/>
    <mergeCell ref="C16:P17"/>
    <mergeCell ref="C68:F68"/>
    <mergeCell ref="C75:F75"/>
    <mergeCell ref="C78:F78"/>
    <mergeCell ref="C74:F74"/>
    <mergeCell ref="C168:F168"/>
    <mergeCell ref="C169:F169"/>
    <mergeCell ref="C170:F170"/>
    <mergeCell ref="C150:F150"/>
    <mergeCell ref="C151:F151"/>
    <mergeCell ref="C152:F152"/>
    <mergeCell ref="C153:F153"/>
    <mergeCell ref="C154:F154"/>
    <mergeCell ref="C155:F155"/>
    <mergeCell ref="C156:F156"/>
    <mergeCell ref="C157:F157"/>
    <mergeCell ref="C158:F158"/>
    <mergeCell ref="C164:F164"/>
    <mergeCell ref="C84:F84"/>
    <mergeCell ref="C143:F143"/>
    <mergeCell ref="C144:F144"/>
    <mergeCell ref="C159:F159"/>
    <mergeCell ref="C160:F160"/>
    <mergeCell ref="C161:F161"/>
    <mergeCell ref="C124:F124"/>
    <mergeCell ref="C183:P183"/>
    <mergeCell ref="C175:F175"/>
    <mergeCell ref="C171:F171"/>
    <mergeCell ref="C172:F172"/>
    <mergeCell ref="I190:M190"/>
    <mergeCell ref="C173:F173"/>
    <mergeCell ref="C174:F174"/>
    <mergeCell ref="C179:F179"/>
    <mergeCell ref="C8:P8"/>
    <mergeCell ref="C12:P13"/>
    <mergeCell ref="C14:P14"/>
    <mergeCell ref="C15:P15"/>
    <mergeCell ref="C37:P37"/>
    <mergeCell ref="C40:P40"/>
    <mergeCell ref="C44:P44"/>
    <mergeCell ref="C48:P48"/>
    <mergeCell ref="C52:P52"/>
    <mergeCell ref="C42:D42"/>
    <mergeCell ref="C46:D46"/>
    <mergeCell ref="C9:P9"/>
    <mergeCell ref="C11:P11"/>
    <mergeCell ref="E33:M33"/>
    <mergeCell ref="C50:F50"/>
    <mergeCell ref="G87:P87"/>
    <mergeCell ref="C56:P56"/>
    <mergeCell ref="G69:P69"/>
    <mergeCell ref="G74:P74"/>
    <mergeCell ref="G88:P88"/>
    <mergeCell ref="C98:F98"/>
    <mergeCell ref="C99:F99"/>
    <mergeCell ref="C100:F100"/>
    <mergeCell ref="C101:F101"/>
    <mergeCell ref="C89:F89"/>
    <mergeCell ref="C82:F82"/>
    <mergeCell ref="C92:J92"/>
    <mergeCell ref="C97:F97"/>
    <mergeCell ref="C77:F77"/>
    <mergeCell ref="C69:F69"/>
    <mergeCell ref="C91:F91"/>
    <mergeCell ref="C88:F88"/>
    <mergeCell ref="C85:F85"/>
    <mergeCell ref="C86:F86"/>
    <mergeCell ref="C76:F76"/>
    <mergeCell ref="C79:F79"/>
    <mergeCell ref="C80:F80"/>
    <mergeCell ref="C81:F81"/>
    <mergeCell ref="C83:F83"/>
    <mergeCell ref="C66:M66"/>
    <mergeCell ref="C103:F103"/>
    <mergeCell ref="G89:P89"/>
    <mergeCell ref="G68:P68"/>
    <mergeCell ref="C104:F104"/>
    <mergeCell ref="H223:P223"/>
    <mergeCell ref="C93:P95"/>
    <mergeCell ref="G75:P75"/>
    <mergeCell ref="G76:P76"/>
    <mergeCell ref="G77:P77"/>
    <mergeCell ref="G78:P78"/>
    <mergeCell ref="G79:P79"/>
    <mergeCell ref="G80:P80"/>
    <mergeCell ref="G81:P81"/>
    <mergeCell ref="G82:P82"/>
    <mergeCell ref="G83:P83"/>
    <mergeCell ref="G84:P84"/>
    <mergeCell ref="G85:P85"/>
    <mergeCell ref="C136:F136"/>
    <mergeCell ref="C140:F140"/>
    <mergeCell ref="C141:F141"/>
    <mergeCell ref="C142:F142"/>
    <mergeCell ref="C126:F126"/>
    <mergeCell ref="C127:F127"/>
    <mergeCell ref="C139:F139"/>
    <mergeCell ref="C188:P188"/>
    <mergeCell ref="C178:F178"/>
    <mergeCell ref="C105:F105"/>
    <mergeCell ref="C106:F106"/>
    <mergeCell ref="C165:F165"/>
    <mergeCell ref="C166:F166"/>
    <mergeCell ref="C167:F167"/>
    <mergeCell ref="C107:F107"/>
    <mergeCell ref="C108:F108"/>
    <mergeCell ref="C109:F109"/>
    <mergeCell ref="C110:F110"/>
    <mergeCell ref="C111:F111"/>
    <mergeCell ref="C112:F112"/>
    <mergeCell ref="C113:F113"/>
    <mergeCell ref="C114:F114"/>
    <mergeCell ref="C115:F115"/>
    <mergeCell ref="C119:F119"/>
    <mergeCell ref="C120:F120"/>
    <mergeCell ref="C121:F121"/>
    <mergeCell ref="C122:F122"/>
    <mergeCell ref="C180:F180"/>
    <mergeCell ref="C149:F149"/>
    <mergeCell ref="C116:F116"/>
    <mergeCell ref="C117:F117"/>
  </mergeCells>
  <hyperlinks>
    <hyperlink ref="C40:M40" r:id="rId1" display="https://gridreferencefinder.com/" xr:uid="{F15C9553-7F37-4BE6-80A4-B50E4FE4D238}"/>
    <hyperlink ref="C209:P209" r:id="rId2" display="a) Go to this link:  https://environment.data.gov.uk/catchment-planning/ManagementCatchment/3008" xr:uid="{443C11E4-AF5A-4503-8CDB-68D87D118C16}"/>
    <hyperlink ref="C215:M215" r:id="rId3" display="a) Go to this link: https://mapapps2.bgs.ac.uk/ukso/home.html?layers=NVZEng" xr:uid="{5CB20928-4FB0-43A0-8DF5-6B31235ED407}"/>
    <hyperlink ref="C184:P184" r:id="rId4" display="The user should use the Soilscapes tool (Cranfield soil and Agrifood institute, 2020) to determine the dominant soil type on their site. Soilscapes can be found at http://www.landis.org.uk/soilscapes/index.cfm" xr:uid="{678895F5-D3CD-40CB-93B2-A8B2B7C391D7}"/>
  </hyperlinks>
  <pageMargins left="0.7" right="0.7" top="0.75" bottom="0.75" header="0.3" footer="0.3"/>
  <pageSetup paperSize="9" scale="55" fitToWidth="0" fitToHeight="0" orientation="portrait" horizontalDpi="360" verticalDpi="360" r:id="rId5"/>
  <rowBreaks count="1" manualBreakCount="1">
    <brk id="49" max="16383" man="1"/>
  </rowBreaks>
  <colBreaks count="1" manualBreakCount="1">
    <brk id="1" max="1048575" man="1"/>
  </colBreaks>
  <customProperties>
    <customPr name="SSC_SHEET_GUID" r:id="rId6"/>
  </customPropertie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F13BD-B39F-422F-9176-9130D47FCF77}">
  <sheetPr>
    <tabColor theme="7" tint="0.79998168889431442"/>
    <pageSetUpPr fitToPage="1"/>
  </sheetPr>
  <dimension ref="A1:S17"/>
  <sheetViews>
    <sheetView zoomScale="115" zoomScaleNormal="115" workbookViewId="0"/>
  </sheetViews>
  <sheetFormatPr defaultRowHeight="13.2" x14ac:dyDescent="0.25"/>
  <cols>
    <col min="2" max="3" width="0.77734375" customWidth="1"/>
    <col min="4" max="4" width="2.21875" customWidth="1"/>
    <col min="5" max="5" width="13.21875" customWidth="1"/>
    <col min="6" max="6" width="8.21875" customWidth="1"/>
    <col min="10" max="10" width="11.21875" customWidth="1"/>
    <col min="11" max="11" width="18.21875" customWidth="1"/>
    <col min="12" max="12" width="6.77734375" customWidth="1"/>
    <col min="13" max="13" width="16.21875" customWidth="1"/>
    <col min="14" max="14" width="6.44140625" customWidth="1"/>
    <col min="15" max="15" width="14.21875" customWidth="1"/>
    <col min="16" max="16" width="5.77734375" customWidth="1"/>
    <col min="18" max="18" width="4.21875" customWidth="1"/>
    <col min="19" max="19" width="0.77734375" customWidth="1"/>
  </cols>
  <sheetData>
    <row r="1" spans="1:19" ht="14.4" thickBot="1" x14ac:dyDescent="0.35">
      <c r="A1" s="40" t="s">
        <v>583</v>
      </c>
    </row>
    <row r="2" spans="1:19" ht="15.6" x14ac:dyDescent="0.3">
      <c r="B2" s="43"/>
      <c r="C2" s="331"/>
      <c r="D2" s="331"/>
      <c r="E2" s="331"/>
      <c r="F2" s="331"/>
      <c r="G2" s="331"/>
      <c r="H2" s="331"/>
      <c r="I2" s="331"/>
      <c r="J2" s="331"/>
      <c r="K2" s="331"/>
      <c r="L2" s="331"/>
      <c r="M2" s="331"/>
      <c r="N2" s="331"/>
      <c r="O2" s="331"/>
      <c r="P2" s="331"/>
      <c r="Q2" s="331"/>
      <c r="R2" s="331"/>
      <c r="S2" s="3"/>
    </row>
    <row r="3" spans="1:19" ht="37.5" customHeight="1" x14ac:dyDescent="0.3">
      <c r="B3" s="46"/>
      <c r="C3" s="66"/>
      <c r="D3" s="68"/>
      <c r="E3" s="197" t="s">
        <v>583</v>
      </c>
      <c r="F3" s="441" t="s">
        <v>524</v>
      </c>
      <c r="G3" s="441"/>
      <c r="H3" s="441"/>
      <c r="I3" s="441"/>
      <c r="J3" s="441"/>
      <c r="K3" s="441"/>
      <c r="L3" s="441"/>
      <c r="M3" s="441"/>
      <c r="N3" s="441"/>
      <c r="O3" s="441"/>
      <c r="P3" s="441"/>
      <c r="Q3" s="234"/>
      <c r="R3" s="234"/>
      <c r="S3" s="6"/>
    </row>
    <row r="4" spans="1:19" ht="15.6" x14ac:dyDescent="0.3">
      <c r="B4" s="46"/>
      <c r="C4" s="145"/>
      <c r="D4" s="145"/>
      <c r="E4" s="254"/>
      <c r="F4" s="254"/>
      <c r="G4" s="254"/>
      <c r="H4" s="254"/>
      <c r="I4" s="254"/>
      <c r="J4" s="254"/>
      <c r="K4" s="254"/>
      <c r="L4" s="254"/>
      <c r="M4" s="254"/>
      <c r="N4" s="254"/>
      <c r="O4" s="254"/>
      <c r="P4" s="254"/>
      <c r="Q4" s="254"/>
      <c r="R4" s="254"/>
      <c r="S4" s="6"/>
    </row>
    <row r="5" spans="1:19" ht="15.6" customHeight="1" x14ac:dyDescent="0.3">
      <c r="B5" s="46"/>
      <c r="C5" s="145"/>
      <c r="D5" s="145"/>
      <c r="E5" s="48" t="s">
        <v>5</v>
      </c>
      <c r="F5" s="361" t="s">
        <v>494</v>
      </c>
      <c r="G5" s="361"/>
      <c r="H5" s="361"/>
      <c r="I5" s="361"/>
      <c r="J5" s="361"/>
      <c r="K5" s="68" t="s">
        <v>522</v>
      </c>
      <c r="L5" s="68"/>
      <c r="M5" s="68" t="s">
        <v>547</v>
      </c>
      <c r="N5" s="68"/>
      <c r="O5" s="68" t="s">
        <v>48</v>
      </c>
      <c r="P5" s="254"/>
      <c r="Q5" s="254"/>
      <c r="R5" s="254"/>
      <c r="S5" s="6"/>
    </row>
    <row r="6" spans="1:19" ht="26.55" customHeight="1" x14ac:dyDescent="0.3">
      <c r="B6" s="46"/>
      <c r="C6" s="49"/>
      <c r="D6" s="49"/>
      <c r="E6" s="254"/>
      <c r="F6" s="254"/>
      <c r="G6" s="254"/>
      <c r="H6" s="254"/>
      <c r="I6" s="254"/>
      <c r="J6" s="254"/>
      <c r="K6" s="145" t="s">
        <v>2</v>
      </c>
      <c r="L6" s="145"/>
      <c r="M6" s="145" t="s">
        <v>2</v>
      </c>
      <c r="N6" s="314"/>
      <c r="O6" s="145" t="s">
        <v>2</v>
      </c>
      <c r="P6" s="145"/>
      <c r="Q6" s="145" t="s">
        <v>24</v>
      </c>
      <c r="R6" s="254"/>
      <c r="S6" s="6"/>
    </row>
    <row r="7" spans="1:19" ht="15.6" x14ac:dyDescent="0.3">
      <c r="B7" s="46"/>
      <c r="C7" s="49"/>
      <c r="D7" s="49"/>
      <c r="E7" s="237"/>
      <c r="F7" s="440" t="s">
        <v>32</v>
      </c>
      <c r="G7" s="440"/>
      <c r="H7" s="440"/>
      <c r="I7" s="440"/>
      <c r="J7" s="440"/>
      <c r="K7" s="332">
        <f>IF('Mitigation - current'!K67&gt;0,'Mitigation - current'!P67,'Mitigation - current'!K80)</f>
        <v>0</v>
      </c>
      <c r="L7" s="237"/>
      <c r="M7" s="332">
        <f>IF('Mitigation - post 2030'!K67&gt;0,'Mitigation - post 2030'!P67,'Mitigation - post 2030'!K80)</f>
        <v>0</v>
      </c>
      <c r="N7" s="237"/>
      <c r="O7" s="332">
        <f t="shared" ref="O7:O12" si="0">M7-K7</f>
        <v>0</v>
      </c>
      <c r="P7" s="237"/>
      <c r="Q7" s="240" t="s">
        <v>17</v>
      </c>
      <c r="R7" s="237"/>
      <c r="S7" s="6"/>
    </row>
    <row r="8" spans="1:19" ht="15.6" x14ac:dyDescent="0.3">
      <c r="B8" s="46"/>
      <c r="C8" s="49"/>
      <c r="D8" s="49"/>
      <c r="E8" s="48"/>
      <c r="F8" s="440" t="s">
        <v>129</v>
      </c>
      <c r="G8" s="440"/>
      <c r="H8" s="440"/>
      <c r="I8" s="440"/>
      <c r="J8" s="440"/>
      <c r="K8" s="332">
        <f>IF('Mitigation - current'!K68&gt;0,'Mitigation - current'!P68,'Mitigation - current'!K81)</f>
        <v>0</v>
      </c>
      <c r="L8" s="144"/>
      <c r="M8" s="332">
        <f>IF('Mitigation - post 2030'!K68&gt;0,'Mitigation - post 2030'!P68,'Mitigation - post 2030'!K81)</f>
        <v>0</v>
      </c>
      <c r="N8" s="144"/>
      <c r="O8" s="332">
        <f t="shared" si="0"/>
        <v>0</v>
      </c>
      <c r="P8" s="49"/>
      <c r="Q8" s="240" t="s">
        <v>17</v>
      </c>
      <c r="R8" s="49"/>
      <c r="S8" s="6"/>
    </row>
    <row r="9" spans="1:19" ht="15.6" x14ac:dyDescent="0.3">
      <c r="B9" s="46"/>
      <c r="C9" s="49"/>
      <c r="D9" s="49"/>
      <c r="E9" s="49"/>
      <c r="F9" s="440" t="s">
        <v>33</v>
      </c>
      <c r="G9" s="440"/>
      <c r="H9" s="440"/>
      <c r="I9" s="440"/>
      <c r="J9" s="440"/>
      <c r="K9" s="332">
        <f>IF('Mitigation - current'!K69&gt;0,'Mitigation - current'!P69,'Mitigation - current'!K82)</f>
        <v>0</v>
      </c>
      <c r="L9" s="246"/>
      <c r="M9" s="332">
        <f>IF('Mitigation - post 2030'!K69&gt;0,'Mitigation - post 2030'!P69,'Mitigation - post 2030'!K82)</f>
        <v>0</v>
      </c>
      <c r="N9" s="246"/>
      <c r="O9" s="332">
        <f t="shared" si="0"/>
        <v>0</v>
      </c>
      <c r="P9" s="49"/>
      <c r="Q9" s="240" t="s">
        <v>17</v>
      </c>
      <c r="R9" s="49"/>
      <c r="S9" s="6"/>
    </row>
    <row r="10" spans="1:19" ht="15.6" x14ac:dyDescent="0.3">
      <c r="B10" s="46"/>
      <c r="C10" s="49"/>
      <c r="D10" s="49"/>
      <c r="E10" s="49"/>
      <c r="F10" s="440" t="s">
        <v>34</v>
      </c>
      <c r="G10" s="440"/>
      <c r="H10" s="440"/>
      <c r="I10" s="440"/>
      <c r="J10" s="440"/>
      <c r="K10" s="332">
        <f>IF('Mitigation - current'!K70&gt;0,'Mitigation - current'!P70,'Mitigation - current'!K83)</f>
        <v>0</v>
      </c>
      <c r="L10" s="49"/>
      <c r="M10" s="332">
        <f>IF('Mitigation - post 2030'!K70&gt;0,'Mitigation - post 2030'!P70,'Mitigation - post 2030'!K83)</f>
        <v>0</v>
      </c>
      <c r="N10" s="49"/>
      <c r="O10" s="332">
        <f t="shared" si="0"/>
        <v>0</v>
      </c>
      <c r="P10" s="49"/>
      <c r="Q10" s="240" t="s">
        <v>17</v>
      </c>
      <c r="R10" s="49"/>
      <c r="S10" s="6"/>
    </row>
    <row r="11" spans="1:19" ht="15.6" x14ac:dyDescent="0.3">
      <c r="B11" s="46"/>
      <c r="C11" s="49"/>
      <c r="D11" s="49"/>
      <c r="E11" s="49"/>
      <c r="F11" s="440" t="s">
        <v>241</v>
      </c>
      <c r="G11" s="440"/>
      <c r="H11" s="440"/>
      <c r="I11" s="440"/>
      <c r="J11" s="440"/>
      <c r="K11" s="332">
        <f>IF('Mitigation - current'!K71&gt;0,'Mitigation - current'!P71,'Mitigation - current'!K84)</f>
        <v>0</v>
      </c>
      <c r="L11" s="49"/>
      <c r="M11" s="332">
        <f>IF('Mitigation - post 2030'!K71&gt;0,'Mitigation - post 2030'!P71,'Mitigation - post 2030'!K84)</f>
        <v>0</v>
      </c>
      <c r="N11" s="49"/>
      <c r="O11" s="332">
        <f t="shared" si="0"/>
        <v>0</v>
      </c>
      <c r="P11" s="49"/>
      <c r="Q11" s="240" t="s">
        <v>17</v>
      </c>
      <c r="R11" s="49"/>
      <c r="S11" s="6"/>
    </row>
    <row r="12" spans="1:19" ht="15.6" x14ac:dyDescent="0.3">
      <c r="B12" s="46"/>
      <c r="C12" s="49"/>
      <c r="D12" s="49"/>
      <c r="E12" s="49"/>
      <c r="F12" s="440" t="s">
        <v>146</v>
      </c>
      <c r="G12" s="440"/>
      <c r="H12" s="440"/>
      <c r="I12" s="440"/>
      <c r="J12" s="440"/>
      <c r="K12" s="332">
        <f>IF('Mitigation - current'!K72&gt;0,'Mitigation - current'!P72,'Mitigation - current'!K85)</f>
        <v>0</v>
      </c>
      <c r="L12" s="49"/>
      <c r="M12" s="332">
        <f>IF('Mitigation - post 2030'!K72&gt;0,'Mitigation - post 2030'!P72,'Mitigation - post 2030'!K85)</f>
        <v>0</v>
      </c>
      <c r="N12" s="49"/>
      <c r="O12" s="332">
        <f t="shared" si="0"/>
        <v>0</v>
      </c>
      <c r="P12" s="49"/>
      <c r="Q12" s="240" t="s">
        <v>17</v>
      </c>
      <c r="R12" s="49"/>
      <c r="S12" s="6"/>
    </row>
    <row r="13" spans="1:19" ht="15.6" x14ac:dyDescent="0.3">
      <c r="B13" s="46"/>
      <c r="C13" s="49"/>
      <c r="D13" s="49"/>
      <c r="E13" s="49"/>
      <c r="F13" s="49"/>
      <c r="G13" s="49"/>
      <c r="H13" s="49"/>
      <c r="I13" s="49"/>
      <c r="J13" s="49"/>
      <c r="K13" s="144"/>
      <c r="L13" s="49"/>
      <c r="M13" s="144"/>
      <c r="N13" s="49"/>
      <c r="O13" s="144"/>
      <c r="P13" s="49"/>
      <c r="Q13" s="240"/>
      <c r="R13" s="49"/>
      <c r="S13" s="6"/>
    </row>
    <row r="14" spans="1:19" ht="15.6" x14ac:dyDescent="0.3">
      <c r="B14" s="46"/>
      <c r="C14" s="49"/>
      <c r="D14" s="49"/>
      <c r="E14" s="48"/>
      <c r="F14" s="146" t="s">
        <v>63</v>
      </c>
      <c r="G14" s="49"/>
      <c r="H14" s="49"/>
      <c r="I14" s="49"/>
      <c r="J14" s="49"/>
      <c r="K14" s="290">
        <f>SUM(K7:K12)</f>
        <v>0</v>
      </c>
      <c r="L14" s="144"/>
      <c r="M14" s="290">
        <f>SUM(M7:M12)</f>
        <v>0</v>
      </c>
      <c r="N14" s="49"/>
      <c r="O14" s="290">
        <f>SUM(O7:O12)</f>
        <v>0</v>
      </c>
      <c r="P14" s="49"/>
      <c r="Q14" s="246" t="s">
        <v>17</v>
      </c>
      <c r="R14" s="49"/>
      <c r="S14" s="6"/>
    </row>
    <row r="15" spans="1:19" ht="15.6" x14ac:dyDescent="0.3">
      <c r="B15" s="46"/>
      <c r="C15" s="49"/>
      <c r="D15" s="49"/>
      <c r="E15" s="49"/>
      <c r="F15" s="49"/>
      <c r="G15" s="49"/>
      <c r="H15" s="49"/>
      <c r="I15" s="49"/>
      <c r="J15" s="49"/>
      <c r="K15" s="49"/>
      <c r="L15" s="49"/>
      <c r="M15" s="49"/>
      <c r="N15" s="49"/>
      <c r="O15" s="49"/>
      <c r="P15" s="49"/>
      <c r="Q15" s="49"/>
      <c r="R15" s="49"/>
      <c r="S15" s="6"/>
    </row>
    <row r="16" spans="1:19" ht="12.6" customHeight="1" x14ac:dyDescent="0.3">
      <c r="B16" s="46"/>
      <c r="C16" s="49"/>
      <c r="D16" s="49"/>
      <c r="E16" s="436" t="s">
        <v>523</v>
      </c>
      <c r="F16" s="436"/>
      <c r="G16" s="436"/>
      <c r="H16" s="436"/>
      <c r="I16" s="436"/>
      <c r="J16" s="436"/>
      <c r="K16" s="436"/>
      <c r="L16" s="436"/>
      <c r="M16" s="436"/>
      <c r="N16" s="436"/>
      <c r="O16" s="436"/>
      <c r="P16" s="436"/>
      <c r="Q16" s="436"/>
      <c r="R16" s="49"/>
      <c r="S16" s="6"/>
    </row>
    <row r="17" spans="2:19" ht="23.1" customHeight="1" thickBot="1" x14ac:dyDescent="0.35">
      <c r="B17" s="50"/>
      <c r="C17" s="318"/>
      <c r="D17" s="318"/>
      <c r="E17" s="456"/>
      <c r="F17" s="456"/>
      <c r="G17" s="456"/>
      <c r="H17" s="456"/>
      <c r="I17" s="456"/>
      <c r="J17" s="456"/>
      <c r="K17" s="456"/>
      <c r="L17" s="456"/>
      <c r="M17" s="456"/>
      <c r="N17" s="456"/>
      <c r="O17" s="456"/>
      <c r="P17" s="456"/>
      <c r="Q17" s="456"/>
      <c r="R17" s="333"/>
      <c r="S17" s="18"/>
    </row>
  </sheetData>
  <sheetProtection algorithmName="SHA-512" hashValue="8m1BGvO4nXKFtzTE/k/V1XP6EcfsPJ6k9371ZumQMOh788g+Zfvyf3t/CZO1ZJoYA7NBYfYXPFLiGMSgWQ+0DQ==" saltValue="P8UiCE65eNo4xn+hNx/HUQ=="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8" orientation="landscape" r:id="rId1"/>
  <headerFooter>
    <oddHeader>&amp;LPhosphate Budget Calculator&amp;CStage 7</oddHeader>
    <oddFooter>&amp;LVersion 2.2&amp;R&amp;D</oddFooter>
  </headerFooter>
  <customProperties>
    <customPr name="SSC_SHEET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2697-E527-4446-97B2-7CB2FF3A9419}">
  <sheetPr>
    <tabColor theme="5" tint="0.79998168889431442"/>
    <pageSetUpPr fitToPage="1"/>
  </sheetPr>
  <dimension ref="A1:V69"/>
  <sheetViews>
    <sheetView zoomScaleNormal="100" workbookViewId="0">
      <selection activeCell="G11" sqref="G11"/>
    </sheetView>
  </sheetViews>
  <sheetFormatPr defaultRowHeight="13.2" x14ac:dyDescent="0.25"/>
  <cols>
    <col min="1" max="1" width="2.77734375" customWidth="1"/>
    <col min="2" max="3" width="0.77734375" customWidth="1"/>
    <col min="4" max="4" width="6.44140625" hidden="1" customWidth="1"/>
    <col min="5" max="5" width="1" customWidth="1"/>
    <col min="6" max="6" width="5.5546875" customWidth="1"/>
    <col min="7" max="7" width="26" customWidth="1"/>
    <col min="10" max="10" width="8.77734375" customWidth="1"/>
    <col min="11" max="11" width="7.44140625" customWidth="1"/>
    <col min="12" max="12" width="12.44140625" customWidth="1"/>
    <col min="13" max="13" width="3.21875" customWidth="1"/>
    <col min="14" max="14" width="2.21875" customWidth="1"/>
    <col min="15" max="15" width="8.77734375" customWidth="1"/>
    <col min="16" max="16" width="4.77734375" customWidth="1"/>
    <col min="17" max="17" width="6.5546875" customWidth="1"/>
    <col min="18" max="18" width="9.44140625" customWidth="1"/>
    <col min="19" max="19" width="6.5546875" customWidth="1"/>
    <col min="20" max="20" width="9.77734375" customWidth="1"/>
    <col min="21" max="21" width="12.77734375" customWidth="1"/>
    <col min="22" max="22" width="10.21875" customWidth="1"/>
    <col min="23" max="23" width="15.77734375" customWidth="1"/>
  </cols>
  <sheetData>
    <row r="1" spans="1:22" ht="14.4" thickBot="1" x14ac:dyDescent="0.35">
      <c r="A1" s="40" t="s">
        <v>584</v>
      </c>
    </row>
    <row r="2" spans="1:22" ht="3.6" customHeight="1" x14ac:dyDescent="0.25">
      <c r="B2" s="1"/>
      <c r="C2" s="2"/>
      <c r="D2" s="2"/>
      <c r="E2" s="2"/>
      <c r="F2" s="2"/>
      <c r="G2" s="2"/>
      <c r="H2" s="2"/>
      <c r="I2" s="2"/>
      <c r="J2" s="2"/>
      <c r="K2" s="2"/>
      <c r="L2" s="2"/>
      <c r="M2" s="2"/>
      <c r="N2" s="2"/>
      <c r="O2" s="2"/>
      <c r="P2" s="2"/>
      <c r="Q2" s="2"/>
      <c r="R2" s="2"/>
      <c r="S2" s="2"/>
      <c r="T2" s="2"/>
      <c r="U2" s="2"/>
      <c r="V2" s="3"/>
    </row>
    <row r="3" spans="1:22" ht="28.5" customHeight="1" x14ac:dyDescent="0.3">
      <c r="B3" s="4"/>
      <c r="E3" s="42"/>
      <c r="F3" s="453" t="s">
        <v>47</v>
      </c>
      <c r="G3" s="453"/>
      <c r="H3" s="453"/>
      <c r="I3" s="453"/>
      <c r="J3" s="453"/>
      <c r="K3" s="453"/>
      <c r="L3" s="453"/>
      <c r="M3" s="453"/>
      <c r="N3" s="453"/>
      <c r="O3" s="453"/>
      <c r="P3" s="453"/>
      <c r="Q3" s="453"/>
      <c r="R3" s="453"/>
      <c r="S3" s="453"/>
      <c r="T3" s="453"/>
      <c r="U3" s="453"/>
      <c r="V3" s="47"/>
    </row>
    <row r="4" spans="1:22" ht="2.1" customHeight="1" x14ac:dyDescent="0.3">
      <c r="B4" s="4"/>
      <c r="C4" s="11"/>
      <c r="E4" s="42"/>
      <c r="F4" s="227"/>
      <c r="G4" s="227"/>
      <c r="H4" s="227"/>
      <c r="I4" s="227"/>
      <c r="J4" s="227"/>
      <c r="K4" s="227"/>
      <c r="L4" s="227"/>
      <c r="M4" s="227"/>
      <c r="N4" s="227"/>
      <c r="O4" s="227"/>
      <c r="P4" s="227"/>
      <c r="Q4" s="227"/>
      <c r="R4" s="227"/>
      <c r="S4" s="227"/>
      <c r="T4" s="227"/>
      <c r="U4" s="227"/>
      <c r="V4" s="47"/>
    </row>
    <row r="5" spans="1:22" ht="15.6" x14ac:dyDescent="0.3">
      <c r="B5" s="4"/>
      <c r="C5" s="11"/>
      <c r="E5" s="42"/>
      <c r="F5" s="227"/>
      <c r="G5" s="461" t="e">
        <f>IF(AND(T15&gt;0,T15&lt;100),"Proposed development has a 'Zero' value","Proposed development does not have a 'Zero' value")</f>
        <v>#DIV/0!</v>
      </c>
      <c r="H5" s="461"/>
      <c r="I5" s="461"/>
      <c r="J5" s="461"/>
      <c r="K5" s="461"/>
      <c r="L5" s="461"/>
      <c r="M5" s="461"/>
      <c r="N5" s="461"/>
      <c r="O5" s="461"/>
      <c r="P5" s="461"/>
      <c r="Q5" s="461"/>
      <c r="R5" s="461"/>
      <c r="S5" s="461"/>
      <c r="T5" s="461"/>
      <c r="U5" s="461"/>
      <c r="V5" s="47"/>
    </row>
    <row r="6" spans="1:22" ht="24.6" customHeight="1" x14ac:dyDescent="0.3">
      <c r="B6" s="4"/>
      <c r="C6" s="5"/>
      <c r="E6" s="42"/>
      <c r="F6" s="227"/>
      <c r="G6" s="461"/>
      <c r="H6" s="461"/>
      <c r="I6" s="461"/>
      <c r="J6" s="461"/>
      <c r="K6" s="461"/>
      <c r="L6" s="461"/>
      <c r="M6" s="461"/>
      <c r="N6" s="461"/>
      <c r="O6" s="461"/>
      <c r="P6" s="461"/>
      <c r="Q6" s="461"/>
      <c r="R6" s="461"/>
      <c r="S6" s="461"/>
      <c r="T6" s="461"/>
      <c r="U6" s="461"/>
      <c r="V6" s="47"/>
    </row>
    <row r="7" spans="1:22" ht="11.1" customHeight="1" x14ac:dyDescent="0.3">
      <c r="B7" s="4"/>
      <c r="C7" s="5"/>
      <c r="E7" s="42"/>
      <c r="F7" s="227"/>
      <c r="G7" s="436" t="s">
        <v>527</v>
      </c>
      <c r="H7" s="436"/>
      <c r="I7" s="436"/>
      <c r="J7" s="436"/>
      <c r="K7" s="436"/>
      <c r="L7" s="436"/>
      <c r="M7" s="436"/>
      <c r="N7" s="436"/>
      <c r="O7" s="436"/>
      <c r="P7" s="436"/>
      <c r="Q7" s="436"/>
      <c r="R7" s="436"/>
      <c r="S7" s="436"/>
      <c r="T7" s="436"/>
      <c r="U7" s="436"/>
      <c r="V7" s="47"/>
    </row>
    <row r="8" spans="1:22" ht="11.1" customHeight="1" x14ac:dyDescent="0.3">
      <c r="B8" s="4"/>
      <c r="C8" s="5"/>
      <c r="E8" s="42"/>
      <c r="F8" s="227"/>
      <c r="G8" s="436"/>
      <c r="H8" s="436"/>
      <c r="I8" s="436"/>
      <c r="J8" s="436"/>
      <c r="K8" s="436"/>
      <c r="L8" s="436"/>
      <c r="M8" s="436"/>
      <c r="N8" s="436"/>
      <c r="O8" s="436"/>
      <c r="P8" s="436"/>
      <c r="Q8" s="436"/>
      <c r="R8" s="436"/>
      <c r="S8" s="436"/>
      <c r="T8" s="436"/>
      <c r="U8" s="436"/>
      <c r="V8" s="47"/>
    </row>
    <row r="9" spans="1:22" ht="11.1" customHeight="1" x14ac:dyDescent="0.3">
      <c r="B9" s="4"/>
      <c r="C9" s="5"/>
      <c r="E9" s="42"/>
      <c r="F9" s="227"/>
      <c r="G9" s="436"/>
      <c r="H9" s="436"/>
      <c r="I9" s="436"/>
      <c r="J9" s="436"/>
      <c r="K9" s="436"/>
      <c r="L9" s="436"/>
      <c r="M9" s="436"/>
      <c r="N9" s="436"/>
      <c r="O9" s="436"/>
      <c r="P9" s="436"/>
      <c r="Q9" s="436"/>
      <c r="R9" s="436"/>
      <c r="S9" s="436"/>
      <c r="T9" s="436"/>
      <c r="U9" s="436"/>
      <c r="V9" s="47"/>
    </row>
    <row r="10" spans="1:22" ht="12" customHeight="1" x14ac:dyDescent="0.3">
      <c r="B10" s="4"/>
      <c r="C10" s="5"/>
      <c r="E10" s="42"/>
      <c r="F10" s="227"/>
      <c r="G10" s="443" t="s">
        <v>242</v>
      </c>
      <c r="H10" s="443"/>
      <c r="I10" s="443"/>
      <c r="J10" s="443"/>
      <c r="K10" s="443"/>
      <c r="L10" s="443"/>
      <c r="M10" s="443"/>
      <c r="N10" s="443"/>
      <c r="O10" s="443"/>
      <c r="P10" s="443"/>
      <c r="Q10" s="443"/>
      <c r="R10" s="443"/>
      <c r="S10" s="443"/>
      <c r="T10" s="443"/>
      <c r="U10" s="443"/>
      <c r="V10" s="47"/>
    </row>
    <row r="11" spans="1:22" ht="12" customHeight="1" x14ac:dyDescent="0.3">
      <c r="B11" s="4"/>
      <c r="C11" s="5"/>
      <c r="E11" s="42"/>
      <c r="F11" s="227"/>
      <c r="G11" s="351" t="s">
        <v>243</v>
      </c>
      <c r="H11" s="227"/>
      <c r="I11" s="227"/>
      <c r="J11" s="227"/>
      <c r="K11" s="227"/>
      <c r="L11" s="227"/>
      <c r="M11" s="227"/>
      <c r="N11" s="227"/>
      <c r="O11" s="227"/>
      <c r="P11" s="227"/>
      <c r="Q11" s="227"/>
      <c r="R11" s="227"/>
      <c r="S11" s="227"/>
      <c r="T11" s="227"/>
      <c r="U11" s="227"/>
      <c r="V11" s="47"/>
    </row>
    <row r="12" spans="1:22" ht="12" customHeight="1" x14ac:dyDescent="0.3">
      <c r="B12" s="4"/>
      <c r="C12" s="5"/>
      <c r="E12" s="42"/>
      <c r="F12" s="227"/>
      <c r="G12" s="227"/>
      <c r="H12" s="227"/>
      <c r="I12" s="227"/>
      <c r="J12" s="227"/>
      <c r="K12" s="227"/>
      <c r="L12" s="227"/>
      <c r="M12" s="227"/>
      <c r="N12" s="227"/>
      <c r="O12" s="227"/>
      <c r="P12" s="227"/>
      <c r="Q12" s="227"/>
      <c r="R12" s="227"/>
      <c r="S12" s="227"/>
      <c r="T12" s="227"/>
      <c r="U12" s="227"/>
      <c r="V12" s="47"/>
    </row>
    <row r="13" spans="1:22" ht="15.6" x14ac:dyDescent="0.3">
      <c r="B13" s="4"/>
      <c r="C13" s="5"/>
      <c r="E13" s="42"/>
      <c r="F13" s="227"/>
      <c r="G13" s="453" t="s">
        <v>56</v>
      </c>
      <c r="H13" s="453"/>
      <c r="I13" s="453"/>
      <c r="J13" s="453"/>
      <c r="K13" s="453"/>
      <c r="L13" s="453"/>
      <c r="M13" s="66"/>
      <c r="N13" s="49"/>
      <c r="O13" s="462" t="s">
        <v>53</v>
      </c>
      <c r="P13" s="462"/>
      <c r="Q13" s="462"/>
      <c r="R13" s="462"/>
      <c r="S13" s="462"/>
      <c r="T13" s="462"/>
      <c r="U13" s="462"/>
      <c r="V13" s="47"/>
    </row>
    <row r="14" spans="1:22" ht="15.6" x14ac:dyDescent="0.3">
      <c r="B14" s="4"/>
      <c r="C14" s="5"/>
      <c r="E14" s="42"/>
      <c r="F14" s="227"/>
      <c r="G14" s="227"/>
      <c r="H14" s="227"/>
      <c r="I14" s="227"/>
      <c r="J14" s="227"/>
      <c r="K14" s="227" t="s">
        <v>2</v>
      </c>
      <c r="L14" s="227" t="s">
        <v>24</v>
      </c>
      <c r="M14" s="227"/>
      <c r="N14" s="227"/>
      <c r="O14" s="227"/>
      <c r="P14" s="227"/>
      <c r="Q14" s="227"/>
      <c r="R14" s="227"/>
      <c r="S14" s="227"/>
      <c r="T14" s="144" t="s">
        <v>2</v>
      </c>
      <c r="U14" s="144" t="s">
        <v>24</v>
      </c>
      <c r="V14" s="47"/>
    </row>
    <row r="15" spans="1:22" ht="12" customHeight="1" x14ac:dyDescent="0.3">
      <c r="B15" s="4"/>
      <c r="C15" s="5"/>
      <c r="E15" s="42"/>
      <c r="F15" s="227"/>
      <c r="G15" s="375" t="s">
        <v>51</v>
      </c>
      <c r="H15" s="375"/>
      <c r="I15" s="375"/>
      <c r="J15" s="375"/>
      <c r="K15" s="334">
        <f>'Stage 1'!V11+'Stage 1'!V14+'Stage 1'!V17</f>
        <v>0</v>
      </c>
      <c r="L15" s="335" t="s">
        <v>6</v>
      </c>
      <c r="M15" s="227"/>
      <c r="N15" s="227"/>
      <c r="O15" s="375" t="s">
        <v>415</v>
      </c>
      <c r="P15" s="375"/>
      <c r="Q15" s="375"/>
      <c r="R15" s="375"/>
      <c r="S15" s="375"/>
      <c r="T15" s="336" t="e">
        <f>-(INTERCEPT('Graph Calculations'!F14:Z14,'Graph Calculations'!F5:Z5))/(SLOPE('Graph Calculations'!F14:Z14,'Graph Calculations'!F5:Z5))</f>
        <v>#DIV/0!</v>
      </c>
      <c r="U15" s="294" t="s">
        <v>54</v>
      </c>
      <c r="V15" s="47"/>
    </row>
    <row r="16" spans="1:22" ht="15.6" x14ac:dyDescent="0.3">
      <c r="B16" s="4"/>
      <c r="C16" s="5"/>
      <c r="E16" s="42"/>
      <c r="F16" s="227"/>
      <c r="G16" s="375" t="s">
        <v>52</v>
      </c>
      <c r="H16" s="375"/>
      <c r="I16" s="375"/>
      <c r="J16" s="375"/>
      <c r="K16" s="336">
        <f>'Stage 2'!K41</f>
        <v>0</v>
      </c>
      <c r="L16" s="335" t="s">
        <v>17</v>
      </c>
      <c r="M16" s="227"/>
      <c r="N16" s="227"/>
      <c r="O16" s="375" t="s">
        <v>416</v>
      </c>
      <c r="P16" s="375"/>
      <c r="Q16" s="375"/>
      <c r="R16" s="375"/>
      <c r="S16" s="375"/>
      <c r="T16" s="336" t="e">
        <f>-'Graph Calculations'!AB11</f>
        <v>#DIV/0!</v>
      </c>
      <c r="U16" s="337" t="s">
        <v>35</v>
      </c>
      <c r="V16" s="47"/>
    </row>
    <row r="17" spans="2:22" ht="4.05" customHeight="1" x14ac:dyDescent="0.3">
      <c r="B17" s="4"/>
      <c r="C17" s="5"/>
      <c r="E17" s="42"/>
      <c r="F17" s="227"/>
      <c r="G17" s="49"/>
      <c r="H17" s="227"/>
      <c r="I17" s="227"/>
      <c r="J17" s="227"/>
      <c r="K17" s="49"/>
      <c r="L17" s="231"/>
      <c r="M17" s="227"/>
      <c r="N17" s="227"/>
      <c r="O17" s="49"/>
      <c r="P17" s="227"/>
      <c r="Q17" s="227"/>
      <c r="R17" s="227"/>
      <c r="S17" s="227"/>
      <c r="T17" s="49"/>
      <c r="U17" s="294"/>
      <c r="V17" s="47"/>
    </row>
    <row r="18" spans="2:22" ht="15.6" x14ac:dyDescent="0.3">
      <c r="B18" s="4"/>
      <c r="C18" s="5"/>
      <c r="E18" s="42"/>
      <c r="F18" s="227"/>
      <c r="G18" s="390" t="s">
        <v>420</v>
      </c>
      <c r="H18" s="390"/>
      <c r="I18" s="390"/>
      <c r="J18" s="390"/>
      <c r="K18" s="390"/>
      <c r="L18" s="231"/>
      <c r="M18" s="227"/>
      <c r="N18" s="227"/>
      <c r="O18" s="390" t="s">
        <v>55</v>
      </c>
      <c r="P18" s="390"/>
      <c r="Q18" s="390"/>
      <c r="R18" s="390"/>
      <c r="S18" s="390"/>
      <c r="T18" s="338" t="e">
        <f>IF('Graph Calculations'!AB12&gt;$K$15,$K$15,'Graph Calculations'!AB12)</f>
        <v>#DIV/0!</v>
      </c>
      <c r="U18" s="339" t="s">
        <v>6</v>
      </c>
      <c r="V18" s="47"/>
    </row>
    <row r="19" spans="2:22" ht="15.6" x14ac:dyDescent="0.3">
      <c r="B19" s="4"/>
      <c r="C19" s="5"/>
      <c r="E19" s="42"/>
      <c r="F19" s="227"/>
      <c r="G19" s="375" t="s">
        <v>19</v>
      </c>
      <c r="H19" s="375"/>
      <c r="I19" s="375"/>
      <c r="J19" s="375"/>
      <c r="K19" s="336">
        <f>'Stage 2'!K46</f>
        <v>0</v>
      </c>
      <c r="L19" s="335" t="s">
        <v>35</v>
      </c>
      <c r="M19" s="227"/>
      <c r="N19" s="227"/>
      <c r="O19" s="49"/>
      <c r="P19" s="227"/>
      <c r="Q19" s="227"/>
      <c r="R19" s="227"/>
      <c r="S19" s="330"/>
      <c r="T19" s="227"/>
      <c r="U19" s="294"/>
      <c r="V19" s="47"/>
    </row>
    <row r="20" spans="2:22" ht="15.6" x14ac:dyDescent="0.3">
      <c r="B20" s="4"/>
      <c r="C20" s="5"/>
      <c r="E20" s="42"/>
      <c r="F20" s="227"/>
      <c r="G20" s="375" t="s">
        <v>421</v>
      </c>
      <c r="H20" s="375"/>
      <c r="I20" s="375"/>
      <c r="J20" s="375"/>
      <c r="K20" s="336">
        <f>'Stage 2'!K48</f>
        <v>0</v>
      </c>
      <c r="L20" s="335" t="s">
        <v>35</v>
      </c>
      <c r="M20" s="227"/>
      <c r="N20" s="227"/>
      <c r="O20" s="375" t="s">
        <v>417</v>
      </c>
      <c r="P20" s="375"/>
      <c r="Q20" s="375"/>
      <c r="R20" s="375"/>
      <c r="S20" s="375"/>
      <c r="T20" s="336" t="e">
        <f>-(INTERCEPT('Graph Calculations'!F26:Z26,'Graph Calculations'!F17:Z17))/(SLOPE('Graph Calculations'!F26:Z26,'Graph Calculations'!F17:Z17))</f>
        <v>#DIV/0!</v>
      </c>
      <c r="U20" s="294" t="s">
        <v>54</v>
      </c>
      <c r="V20" s="47"/>
    </row>
    <row r="21" spans="2:22" ht="15.6" x14ac:dyDescent="0.3">
      <c r="B21" s="4"/>
      <c r="C21" s="5"/>
      <c r="E21" s="42"/>
      <c r="F21" s="227"/>
      <c r="G21" s="49"/>
      <c r="H21" s="227"/>
      <c r="I21" s="227"/>
      <c r="J21" s="227"/>
      <c r="K21" s="49"/>
      <c r="L21" s="231"/>
      <c r="M21" s="227"/>
      <c r="N21" s="227"/>
      <c r="O21" s="375" t="s">
        <v>418</v>
      </c>
      <c r="P21" s="375"/>
      <c r="Q21" s="375"/>
      <c r="R21" s="375"/>
      <c r="S21" s="375"/>
      <c r="T21" s="336" t="e">
        <f>-'Graph Calculations'!AB23</f>
        <v>#DIV/0!</v>
      </c>
      <c r="U21" s="337" t="s">
        <v>35</v>
      </c>
      <c r="V21" s="47"/>
    </row>
    <row r="22" spans="2:22" ht="15.6" x14ac:dyDescent="0.3">
      <c r="B22" s="4"/>
      <c r="C22" s="5"/>
      <c r="E22" s="42"/>
      <c r="F22" s="227"/>
      <c r="G22" s="390" t="s">
        <v>419</v>
      </c>
      <c r="H22" s="390"/>
      <c r="I22" s="390"/>
      <c r="J22" s="390"/>
      <c r="K22" s="390"/>
      <c r="L22" s="231"/>
      <c r="M22" s="227"/>
      <c r="N22" s="227"/>
      <c r="O22" s="49"/>
      <c r="P22" s="227"/>
      <c r="Q22" s="227"/>
      <c r="R22" s="227"/>
      <c r="S22" s="227"/>
      <c r="T22" s="49"/>
      <c r="U22" s="227"/>
      <c r="V22" s="47"/>
    </row>
    <row r="23" spans="2:22" ht="2.1" customHeight="1" x14ac:dyDescent="0.3">
      <c r="B23" s="4"/>
      <c r="C23" s="5"/>
      <c r="E23" s="42"/>
      <c r="F23" s="227"/>
      <c r="G23" s="49"/>
      <c r="H23" s="227"/>
      <c r="I23" s="227"/>
      <c r="J23" s="227"/>
      <c r="K23" s="49"/>
      <c r="L23" s="231"/>
      <c r="M23" s="227"/>
      <c r="N23" s="227"/>
      <c r="O23" s="226"/>
      <c r="P23" s="226"/>
      <c r="Q23" s="226"/>
      <c r="R23" s="226"/>
      <c r="S23" s="226"/>
      <c r="T23" s="226"/>
      <c r="U23" s="226"/>
      <c r="V23" s="47"/>
    </row>
    <row r="24" spans="2:22" ht="15.6" x14ac:dyDescent="0.3">
      <c r="B24" s="4"/>
      <c r="C24" s="5"/>
      <c r="E24" s="42"/>
      <c r="F24" s="227"/>
      <c r="G24" s="375" t="s">
        <v>422</v>
      </c>
      <c r="H24" s="375"/>
      <c r="I24" s="375"/>
      <c r="J24" s="375"/>
      <c r="K24" s="336">
        <f>'Stage 4'!K12</f>
        <v>0</v>
      </c>
      <c r="L24" s="335" t="s">
        <v>35</v>
      </c>
      <c r="M24" s="227"/>
      <c r="N24" s="227"/>
      <c r="O24" s="390" t="s">
        <v>55</v>
      </c>
      <c r="P24" s="390"/>
      <c r="Q24" s="390"/>
      <c r="R24" s="390"/>
      <c r="S24" s="390"/>
      <c r="T24" s="338" t="e">
        <f>IF('Graph Calculations'!AB24&gt;$K$15,$K$15,'Graph Calculations'!AB24)</f>
        <v>#DIV/0!</v>
      </c>
      <c r="U24" s="339" t="s">
        <v>6</v>
      </c>
      <c r="V24" s="47"/>
    </row>
    <row r="25" spans="2:22" ht="15.6" x14ac:dyDescent="0.3">
      <c r="B25" s="4"/>
      <c r="C25" s="5"/>
      <c r="E25" s="42"/>
      <c r="F25" s="227"/>
      <c r="G25" s="375" t="s">
        <v>26</v>
      </c>
      <c r="H25" s="375"/>
      <c r="I25" s="375"/>
      <c r="J25" s="375"/>
      <c r="K25" s="336">
        <f>'Stage 3'!K36</f>
        <v>0</v>
      </c>
      <c r="L25" s="335" t="s">
        <v>35</v>
      </c>
      <c r="M25" s="227"/>
      <c r="N25" s="227"/>
      <c r="O25" s="227"/>
      <c r="P25" s="227"/>
      <c r="Q25" s="227"/>
      <c r="R25" s="227"/>
      <c r="S25" s="227"/>
      <c r="T25" s="227"/>
      <c r="U25" s="227"/>
      <c r="V25" s="47"/>
    </row>
    <row r="26" spans="2:22" ht="15.6" x14ac:dyDescent="0.3">
      <c r="B26" s="4"/>
      <c r="C26" s="5"/>
      <c r="E26" s="42"/>
      <c r="F26" s="227"/>
      <c r="G26" s="375" t="s">
        <v>423</v>
      </c>
      <c r="H26" s="375"/>
      <c r="I26" s="375"/>
      <c r="J26" s="375"/>
      <c r="K26" s="336">
        <f>'Stage 1'!U69</f>
        <v>0</v>
      </c>
      <c r="L26" s="335" t="s">
        <v>35</v>
      </c>
      <c r="M26" s="227"/>
      <c r="N26" s="227"/>
      <c r="O26" s="227"/>
      <c r="P26" s="227"/>
      <c r="Q26" s="227"/>
      <c r="R26" s="227"/>
      <c r="S26" s="227"/>
      <c r="T26" s="227"/>
      <c r="U26" s="227"/>
      <c r="V26" s="47"/>
    </row>
    <row r="27" spans="2:22" ht="15.6" x14ac:dyDescent="0.3">
      <c r="B27" s="4"/>
      <c r="C27" s="5"/>
      <c r="E27" s="42"/>
      <c r="F27" s="227"/>
      <c r="G27" s="375" t="s">
        <v>399</v>
      </c>
      <c r="H27" s="375"/>
      <c r="I27" s="375"/>
      <c r="J27" s="375"/>
      <c r="K27" s="336">
        <f>'Stage 3'!K38</f>
        <v>0</v>
      </c>
      <c r="L27" s="335" t="s">
        <v>35</v>
      </c>
      <c r="M27" s="227"/>
      <c r="N27" s="227"/>
      <c r="O27" s="227"/>
      <c r="P27" s="227"/>
      <c r="Q27" s="227"/>
      <c r="R27" s="227"/>
      <c r="S27" s="227"/>
      <c r="T27" s="227"/>
      <c r="U27" s="227"/>
      <c r="V27" s="47"/>
    </row>
    <row r="28" spans="2:22" ht="15.6" x14ac:dyDescent="0.3">
      <c r="B28" s="4"/>
      <c r="C28" s="5"/>
      <c r="E28" s="42"/>
      <c r="F28" s="227"/>
      <c r="G28" s="227"/>
      <c r="H28" s="227"/>
      <c r="I28" s="227"/>
      <c r="J28" s="227"/>
      <c r="K28" s="330"/>
      <c r="L28" s="330"/>
      <c r="M28" s="227"/>
      <c r="N28" s="227"/>
      <c r="O28" s="227"/>
      <c r="P28" s="227"/>
      <c r="Q28" s="227"/>
      <c r="R28" s="227"/>
      <c r="S28" s="227"/>
      <c r="T28" s="227"/>
      <c r="U28" s="227"/>
      <c r="V28" s="47"/>
    </row>
    <row r="29" spans="2:22" ht="15.6" x14ac:dyDescent="0.3">
      <c r="B29" s="4"/>
      <c r="C29" s="5"/>
      <c r="E29" s="42"/>
      <c r="F29" s="227"/>
      <c r="G29" s="227"/>
      <c r="H29" s="227"/>
      <c r="I29" s="227"/>
      <c r="J29" s="227"/>
      <c r="K29" s="227"/>
      <c r="L29" s="227"/>
      <c r="M29" s="227"/>
      <c r="N29" s="227"/>
      <c r="O29" s="230"/>
      <c r="P29" s="227"/>
      <c r="Q29" s="227"/>
      <c r="R29" s="227"/>
      <c r="S29" s="227"/>
      <c r="T29" s="227"/>
      <c r="U29" s="227"/>
      <c r="V29" s="47"/>
    </row>
    <row r="30" spans="2:22" ht="6" customHeight="1" x14ac:dyDescent="0.3">
      <c r="B30" s="4"/>
      <c r="C30" s="5"/>
      <c r="E30" s="42"/>
      <c r="F30" s="227"/>
      <c r="G30" s="227"/>
      <c r="H30" s="227"/>
      <c r="I30" s="227"/>
      <c r="J30" s="227"/>
      <c r="K30" s="227"/>
      <c r="L30" s="227"/>
      <c r="M30" s="227"/>
      <c r="N30" s="227"/>
      <c r="O30" s="227"/>
      <c r="P30" s="227"/>
      <c r="Q30" s="227"/>
      <c r="R30" s="227"/>
      <c r="S30" s="227"/>
      <c r="T30" s="227"/>
      <c r="U30" s="227"/>
      <c r="V30" s="47"/>
    </row>
    <row r="31" spans="2:22" ht="16.05" customHeight="1" x14ac:dyDescent="0.3">
      <c r="B31" s="4"/>
      <c r="C31" s="5"/>
      <c r="E31" s="42"/>
      <c r="F31" s="227"/>
      <c r="G31" s="227"/>
      <c r="H31" s="227"/>
      <c r="I31" s="227"/>
      <c r="J31" s="227"/>
      <c r="K31" s="227"/>
      <c r="L31" s="227"/>
      <c r="M31" s="227"/>
      <c r="N31" s="227"/>
      <c r="O31" s="227"/>
      <c r="P31" s="227"/>
      <c r="Q31" s="227"/>
      <c r="R31" s="227"/>
      <c r="S31" s="227"/>
      <c r="T31" s="227"/>
      <c r="U31" s="227"/>
      <c r="V31" s="47"/>
    </row>
    <row r="32" spans="2:22" ht="15" customHeight="1" x14ac:dyDescent="0.3">
      <c r="B32" s="4"/>
      <c r="C32" s="5"/>
      <c r="E32" s="42"/>
      <c r="F32" s="227"/>
      <c r="G32" s="227"/>
      <c r="H32" s="227"/>
      <c r="I32" s="227"/>
      <c r="J32" s="227"/>
      <c r="K32" s="330"/>
      <c r="L32" s="330"/>
      <c r="M32" s="227"/>
      <c r="N32" s="227"/>
      <c r="O32" s="227"/>
      <c r="P32" s="227"/>
      <c r="Q32" s="227"/>
      <c r="R32" s="227"/>
      <c r="S32" s="330"/>
      <c r="T32" s="330"/>
      <c r="U32" s="227"/>
      <c r="V32" s="47"/>
    </row>
    <row r="33" spans="2:22" ht="15.6" x14ac:dyDescent="0.3">
      <c r="B33" s="4"/>
      <c r="C33" s="5"/>
      <c r="D33" t="s">
        <v>28</v>
      </c>
      <c r="E33" s="42"/>
      <c r="F33" s="227"/>
      <c r="G33" s="227"/>
      <c r="H33" s="227"/>
      <c r="I33" s="227"/>
      <c r="J33" s="227"/>
      <c r="K33" s="330"/>
      <c r="L33" s="330"/>
      <c r="M33" s="227"/>
      <c r="N33" s="227"/>
      <c r="O33" s="227"/>
      <c r="P33" s="227"/>
      <c r="Q33" s="227"/>
      <c r="R33" s="227"/>
      <c r="S33" s="330"/>
      <c r="T33" s="330"/>
      <c r="U33" s="227"/>
      <c r="V33" s="47"/>
    </row>
    <row r="34" spans="2:22" ht="12.6" customHeight="1" x14ac:dyDescent="0.3">
      <c r="B34" s="4"/>
      <c r="C34" s="5"/>
      <c r="E34" s="42"/>
      <c r="F34" s="227"/>
      <c r="G34" s="227"/>
      <c r="H34" s="227"/>
      <c r="I34" s="227"/>
      <c r="J34" s="227"/>
      <c r="K34" s="227"/>
      <c r="L34" s="227"/>
      <c r="M34" s="227"/>
      <c r="N34" s="227"/>
      <c r="O34" s="227"/>
      <c r="P34" s="227"/>
      <c r="Q34" s="227"/>
      <c r="R34" s="227"/>
      <c r="S34" s="227"/>
      <c r="T34" s="227"/>
      <c r="U34" s="227"/>
      <c r="V34" s="47"/>
    </row>
    <row r="35" spans="2:22" ht="23.55" customHeight="1" x14ac:dyDescent="0.3">
      <c r="B35" s="4"/>
      <c r="C35" s="5"/>
      <c r="D35" t="s">
        <v>67</v>
      </c>
      <c r="E35" s="42"/>
      <c r="F35" s="227"/>
      <c r="G35" s="230"/>
      <c r="H35" s="227"/>
      <c r="I35" s="227"/>
      <c r="J35" s="227"/>
      <c r="K35" s="330"/>
      <c r="L35" s="330"/>
      <c r="M35" s="227"/>
      <c r="N35" s="227"/>
      <c r="O35" s="227"/>
      <c r="P35" s="227"/>
      <c r="Q35" s="227"/>
      <c r="R35" s="227"/>
      <c r="S35" s="330"/>
      <c r="T35" s="330"/>
      <c r="U35" s="227"/>
      <c r="V35" s="47"/>
    </row>
    <row r="36" spans="2:22" ht="1.5" customHeight="1" x14ac:dyDescent="0.3">
      <c r="B36" s="4"/>
      <c r="C36" s="5"/>
      <c r="E36" s="42"/>
      <c r="F36" s="227"/>
      <c r="G36" s="227"/>
      <c r="H36" s="227"/>
      <c r="I36" s="227"/>
      <c r="J36" s="227"/>
      <c r="K36" s="227"/>
      <c r="L36" s="227"/>
      <c r="M36" s="227"/>
      <c r="N36" s="227"/>
      <c r="O36" s="227"/>
      <c r="P36" s="227"/>
      <c r="Q36" s="227"/>
      <c r="R36" s="227"/>
      <c r="S36" s="227"/>
      <c r="T36" s="227"/>
      <c r="U36" s="227"/>
      <c r="V36" s="47"/>
    </row>
    <row r="37" spans="2:22" ht="15.6" x14ac:dyDescent="0.3">
      <c r="B37" s="4"/>
      <c r="C37" s="5"/>
      <c r="D37" t="s">
        <v>68</v>
      </c>
      <c r="E37" s="42"/>
      <c r="F37" s="227"/>
      <c r="G37" s="227"/>
      <c r="H37" s="227"/>
      <c r="I37" s="227"/>
      <c r="J37" s="227"/>
      <c r="K37" s="227"/>
      <c r="L37" s="227"/>
      <c r="M37" s="227"/>
      <c r="N37" s="227"/>
      <c r="O37" s="227"/>
      <c r="P37" s="227"/>
      <c r="Q37" s="227"/>
      <c r="R37" s="227"/>
      <c r="S37" s="227"/>
      <c r="T37" s="227"/>
      <c r="U37" s="227"/>
      <c r="V37" s="47"/>
    </row>
    <row r="38" spans="2:22" ht="15.6" x14ac:dyDescent="0.3">
      <c r="B38" s="4"/>
      <c r="C38" s="5"/>
      <c r="E38" s="53"/>
      <c r="F38" s="278"/>
      <c r="G38" s="278"/>
      <c r="H38" s="227"/>
      <c r="I38" s="227"/>
      <c r="J38" s="227"/>
      <c r="K38" s="227"/>
      <c r="L38" s="227"/>
      <c r="M38" s="227"/>
      <c r="N38" s="227"/>
      <c r="O38" s="227"/>
      <c r="P38" s="227"/>
      <c r="Q38" s="227"/>
      <c r="R38" s="227"/>
      <c r="S38" s="227"/>
      <c r="T38" s="227"/>
      <c r="U38" s="227"/>
      <c r="V38" s="47"/>
    </row>
    <row r="39" spans="2:22" ht="6.6" customHeight="1" x14ac:dyDescent="0.3">
      <c r="B39" s="4"/>
      <c r="C39" s="5"/>
      <c r="E39" s="42"/>
      <c r="F39" s="227"/>
      <c r="G39" s="227"/>
      <c r="H39" s="227"/>
      <c r="I39" s="227"/>
      <c r="J39" s="227"/>
      <c r="K39" s="227"/>
      <c r="L39" s="227"/>
      <c r="M39" s="227"/>
      <c r="N39" s="227"/>
      <c r="O39" s="227"/>
      <c r="P39" s="227"/>
      <c r="Q39" s="227"/>
      <c r="R39" s="227"/>
      <c r="S39" s="227"/>
      <c r="T39" s="227"/>
      <c r="U39" s="227"/>
      <c r="V39" s="47"/>
    </row>
    <row r="40" spans="2:22" ht="15.6" x14ac:dyDescent="0.3">
      <c r="B40" s="4"/>
      <c r="C40" s="5"/>
      <c r="E40" s="42"/>
      <c r="F40" s="227"/>
      <c r="G40" s="227"/>
      <c r="H40" s="227"/>
      <c r="I40" s="227"/>
      <c r="J40" s="227"/>
      <c r="K40" s="227"/>
      <c r="L40" s="227"/>
      <c r="M40" s="227"/>
      <c r="N40" s="227"/>
      <c r="O40" s="227"/>
      <c r="P40" s="227"/>
      <c r="Q40" s="227"/>
      <c r="R40" s="227"/>
      <c r="S40" s="227"/>
      <c r="T40" s="227"/>
      <c r="U40" s="227"/>
      <c r="V40" s="47"/>
    </row>
    <row r="41" spans="2:22" ht="15.6" x14ac:dyDescent="0.3">
      <c r="B41" s="4"/>
      <c r="C41" s="5"/>
      <c r="E41" s="42"/>
      <c r="F41" s="227"/>
      <c r="G41" s="230"/>
      <c r="H41" s="227"/>
      <c r="I41" s="227"/>
      <c r="J41" s="227"/>
      <c r="K41" s="227"/>
      <c r="L41" s="227"/>
      <c r="M41" s="227"/>
      <c r="N41" s="227"/>
      <c r="O41" s="227"/>
      <c r="P41" s="227"/>
      <c r="Q41" s="227"/>
      <c r="R41" s="227"/>
      <c r="S41" s="227"/>
      <c r="T41" s="227"/>
      <c r="U41" s="227"/>
      <c r="V41" s="47"/>
    </row>
    <row r="42" spans="2:22" ht="15.6" x14ac:dyDescent="0.3">
      <c r="B42" s="4"/>
      <c r="C42" s="5"/>
      <c r="E42" s="42"/>
      <c r="F42" s="227"/>
      <c r="G42" s="227"/>
      <c r="H42" s="227"/>
      <c r="I42" s="227"/>
      <c r="J42" s="227"/>
      <c r="K42" s="227"/>
      <c r="L42" s="227"/>
      <c r="M42" s="227"/>
      <c r="N42" s="227"/>
      <c r="O42" s="227"/>
      <c r="P42" s="227"/>
      <c r="Q42" s="227"/>
      <c r="R42" s="227"/>
      <c r="S42" s="227"/>
      <c r="T42" s="227"/>
      <c r="U42" s="227"/>
      <c r="V42" s="47"/>
    </row>
    <row r="43" spans="2:22" ht="12.6" customHeight="1" x14ac:dyDescent="0.3">
      <c r="B43" s="4"/>
      <c r="C43" s="5"/>
      <c r="E43" s="42"/>
      <c r="F43" s="227"/>
      <c r="G43" s="227"/>
      <c r="H43" s="227"/>
      <c r="I43" s="227"/>
      <c r="J43" s="227"/>
      <c r="K43" s="227"/>
      <c r="L43" s="227"/>
      <c r="M43" s="227"/>
      <c r="N43" s="227"/>
      <c r="O43" s="227"/>
      <c r="P43" s="227"/>
      <c r="Q43" s="227"/>
      <c r="R43" s="227"/>
      <c r="S43" s="227"/>
      <c r="T43" s="227"/>
      <c r="U43" s="227"/>
      <c r="V43" s="47"/>
    </row>
    <row r="44" spans="2:22" ht="35.549999999999997" customHeight="1" x14ac:dyDescent="0.3">
      <c r="B44" s="4"/>
      <c r="C44" s="5"/>
      <c r="E44" s="42"/>
      <c r="F44" s="227"/>
      <c r="G44" s="227"/>
      <c r="H44" s="227"/>
      <c r="I44" s="227"/>
      <c r="J44" s="227"/>
      <c r="K44" s="227"/>
      <c r="L44" s="227"/>
      <c r="M44" s="227"/>
      <c r="N44" s="227"/>
      <c r="O44" s="227"/>
      <c r="P44" s="227"/>
      <c r="Q44" s="227"/>
      <c r="R44" s="227"/>
      <c r="S44" s="227"/>
      <c r="T44" s="227"/>
      <c r="U44" s="227"/>
      <c r="V44" s="47"/>
    </row>
    <row r="45" spans="2:22" ht="13.05" customHeight="1" x14ac:dyDescent="0.3">
      <c r="B45" s="4"/>
      <c r="C45" s="5"/>
      <c r="E45" s="42"/>
      <c r="F45" s="227"/>
      <c r="G45" s="227"/>
      <c r="H45" s="227"/>
      <c r="I45" s="227"/>
      <c r="J45" s="227"/>
      <c r="K45" s="227"/>
      <c r="L45" s="227"/>
      <c r="M45" s="227"/>
      <c r="N45" s="227"/>
      <c r="O45" s="227"/>
      <c r="P45" s="227"/>
      <c r="Q45" s="227"/>
      <c r="R45" s="227"/>
      <c r="S45" s="227"/>
      <c r="T45" s="227"/>
      <c r="U45" s="227"/>
      <c r="V45" s="47"/>
    </row>
    <row r="46" spans="2:22" ht="13.05" customHeight="1" x14ac:dyDescent="0.3">
      <c r="B46" s="4"/>
      <c r="C46" s="5"/>
      <c r="E46" s="42"/>
      <c r="F46" s="227"/>
      <c r="G46" s="227"/>
      <c r="H46" s="227"/>
      <c r="I46" s="227"/>
      <c r="J46" s="227"/>
      <c r="K46" s="227"/>
      <c r="L46" s="227"/>
      <c r="M46" s="227"/>
      <c r="N46" s="227"/>
      <c r="O46" s="227"/>
      <c r="P46" s="227"/>
      <c r="Q46" s="227"/>
      <c r="R46" s="227"/>
      <c r="S46" s="227"/>
      <c r="T46" s="227"/>
      <c r="U46" s="227"/>
      <c r="V46" s="47"/>
    </row>
    <row r="47" spans="2:22" ht="35.549999999999997" customHeight="1" x14ac:dyDescent="0.3">
      <c r="B47" s="4"/>
      <c r="C47" s="5"/>
      <c r="E47" s="42"/>
      <c r="F47" s="227"/>
      <c r="G47" s="227"/>
      <c r="H47" s="227"/>
      <c r="I47" s="227"/>
      <c r="J47" s="227"/>
      <c r="K47" s="227"/>
      <c r="L47" s="227"/>
      <c r="M47" s="227"/>
      <c r="N47" s="227"/>
      <c r="O47" s="227"/>
      <c r="P47" s="227"/>
      <c r="Q47" s="227"/>
      <c r="R47" s="227"/>
      <c r="S47" s="227"/>
      <c r="T47" s="227"/>
      <c r="U47" s="227"/>
      <c r="V47" s="47"/>
    </row>
    <row r="48" spans="2:22" ht="35.549999999999997" customHeight="1" x14ac:dyDescent="0.3">
      <c r="B48" s="4"/>
      <c r="C48" s="5"/>
      <c r="E48" s="42"/>
      <c r="F48" s="227"/>
      <c r="G48" s="227"/>
      <c r="H48" s="227"/>
      <c r="I48" s="227"/>
      <c r="J48" s="227"/>
      <c r="K48" s="227"/>
      <c r="L48" s="227"/>
      <c r="M48" s="227"/>
      <c r="N48" s="227"/>
      <c r="O48" s="227"/>
      <c r="P48" s="227"/>
      <c r="Q48" s="227"/>
      <c r="R48" s="227"/>
      <c r="S48" s="227"/>
      <c r="T48" s="227"/>
      <c r="U48" s="227"/>
      <c r="V48" s="47"/>
    </row>
    <row r="49" spans="2:22" ht="35.549999999999997" customHeight="1" x14ac:dyDescent="0.3">
      <c r="B49" s="4"/>
      <c r="C49" s="5"/>
      <c r="E49" s="42"/>
      <c r="F49" s="227"/>
      <c r="G49" s="227"/>
      <c r="H49" s="227"/>
      <c r="I49" s="227"/>
      <c r="J49" s="227"/>
      <c r="K49" s="227"/>
      <c r="L49" s="227"/>
      <c r="M49" s="227"/>
      <c r="N49" s="227"/>
      <c r="O49" s="227"/>
      <c r="P49" s="227"/>
      <c r="Q49" s="227"/>
      <c r="R49" s="227"/>
      <c r="S49" s="227"/>
      <c r="T49" s="227"/>
      <c r="U49" s="227"/>
      <c r="V49" s="47"/>
    </row>
    <row r="50" spans="2:22" ht="35.549999999999997" customHeight="1" x14ac:dyDescent="0.3">
      <c r="B50" s="4"/>
      <c r="C50" s="5"/>
      <c r="E50" s="42"/>
      <c r="F50" s="227"/>
      <c r="G50" s="227"/>
      <c r="H50" s="227"/>
      <c r="I50" s="227"/>
      <c r="J50" s="227"/>
      <c r="K50" s="227"/>
      <c r="L50" s="227"/>
      <c r="M50" s="227"/>
      <c r="N50" s="227"/>
      <c r="O50" s="227"/>
      <c r="P50" s="227"/>
      <c r="Q50" s="227"/>
      <c r="R50" s="227"/>
      <c r="S50" s="227"/>
      <c r="T50" s="227"/>
      <c r="U50" s="227"/>
      <c r="V50" s="47"/>
    </row>
    <row r="51" spans="2:22" ht="35.549999999999997" customHeight="1" x14ac:dyDescent="0.3">
      <c r="B51" s="4"/>
      <c r="C51" s="5"/>
      <c r="E51" s="42"/>
      <c r="F51" s="227"/>
      <c r="G51" s="227"/>
      <c r="H51" s="227"/>
      <c r="I51" s="227"/>
      <c r="J51" s="227"/>
      <c r="K51" s="227"/>
      <c r="L51" s="227"/>
      <c r="M51" s="227"/>
      <c r="N51" s="227"/>
      <c r="O51" s="227"/>
      <c r="P51" s="227"/>
      <c r="Q51" s="227"/>
      <c r="R51" s="227"/>
      <c r="S51" s="227"/>
      <c r="T51" s="227"/>
      <c r="U51" s="227"/>
      <c r="V51" s="47"/>
    </row>
    <row r="52" spans="2:22" ht="35.549999999999997" customHeight="1" x14ac:dyDescent="0.3">
      <c r="B52" s="4"/>
      <c r="C52" s="5"/>
      <c r="E52" s="42"/>
      <c r="F52" s="227"/>
      <c r="G52" s="227"/>
      <c r="H52" s="227"/>
      <c r="I52" s="227"/>
      <c r="J52" s="227"/>
      <c r="K52" s="227"/>
      <c r="L52" s="227"/>
      <c r="M52" s="227"/>
      <c r="N52" s="227"/>
      <c r="O52" s="227"/>
      <c r="P52" s="227"/>
      <c r="Q52" s="227"/>
      <c r="R52" s="227"/>
      <c r="S52" s="227"/>
      <c r="T52" s="227"/>
      <c r="U52" s="227"/>
      <c r="V52" s="47"/>
    </row>
    <row r="53" spans="2:22" ht="35.549999999999997" customHeight="1" x14ac:dyDescent="0.3">
      <c r="B53" s="4"/>
      <c r="C53" s="5"/>
      <c r="E53" s="42"/>
      <c r="F53" s="227"/>
      <c r="G53" s="227"/>
      <c r="H53" s="227"/>
      <c r="I53" s="227"/>
      <c r="J53" s="227"/>
      <c r="K53" s="227"/>
      <c r="L53" s="227"/>
      <c r="M53" s="227"/>
      <c r="N53" s="227"/>
      <c r="O53" s="227"/>
      <c r="P53" s="227"/>
      <c r="Q53" s="227"/>
      <c r="R53" s="227"/>
      <c r="S53" s="227"/>
      <c r="T53" s="227"/>
      <c r="U53" s="227"/>
      <c r="V53" s="47"/>
    </row>
    <row r="54" spans="2:22" ht="19.5" customHeight="1" thickBot="1" x14ac:dyDescent="0.35">
      <c r="B54" s="7"/>
      <c r="C54" s="8"/>
      <c r="D54" s="36"/>
      <c r="E54" s="51"/>
      <c r="F54" s="51"/>
      <c r="G54" s="51"/>
      <c r="H54" s="58"/>
      <c r="I54" s="51"/>
      <c r="J54" s="51"/>
      <c r="K54" s="51"/>
      <c r="L54" s="51"/>
      <c r="M54" s="51"/>
      <c r="N54" s="51"/>
      <c r="O54" s="51"/>
      <c r="P54" s="51"/>
      <c r="Q54" s="51"/>
      <c r="R54" s="51"/>
      <c r="S54" s="51"/>
      <c r="T54" s="51"/>
      <c r="U54" s="51"/>
      <c r="V54" s="52"/>
    </row>
    <row r="69" spans="10:18" x14ac:dyDescent="0.25">
      <c r="J69" s="16"/>
      <c r="K69" s="16"/>
      <c r="L69" s="16"/>
      <c r="M69" s="16"/>
      <c r="N69" s="16"/>
      <c r="O69" s="16"/>
      <c r="P69" s="16"/>
      <c r="Q69" s="16"/>
      <c r="R69" s="16"/>
    </row>
  </sheetData>
  <sheetProtection algorithmName="SHA-512" hashValue="Xr1zlvxEM9GGKyAIo5Wxh6SaqTLn86HsaHKikhVsKwH35CzGaawfmyG0jK7SRUeHLZc6Hhoovix1hjgQABSPVQ==" saltValue="Mhhi51IKFh9XWmEwXxrTYA==" spinCount="100000" sheet="1" objects="1" scenarios="1" selectLockedCells="1"/>
  <dataConsolidate/>
  <mergeCells count="22">
    <mergeCell ref="G26:J26"/>
    <mergeCell ref="G27:J27"/>
    <mergeCell ref="G25:J25"/>
    <mergeCell ref="O15:S15"/>
    <mergeCell ref="O16:S16"/>
    <mergeCell ref="O18:S18"/>
    <mergeCell ref="G15:J15"/>
    <mergeCell ref="G16:J16"/>
    <mergeCell ref="G18:K18"/>
    <mergeCell ref="G19:J19"/>
    <mergeCell ref="G22:K22"/>
    <mergeCell ref="G24:J24"/>
    <mergeCell ref="O20:S20"/>
    <mergeCell ref="O21:S21"/>
    <mergeCell ref="O24:S24"/>
    <mergeCell ref="G20:J20"/>
    <mergeCell ref="F3:U3"/>
    <mergeCell ref="G5:U6"/>
    <mergeCell ref="G7:U9"/>
    <mergeCell ref="G13:L13"/>
    <mergeCell ref="O13:U13"/>
    <mergeCell ref="G10:U10"/>
  </mergeCells>
  <conditionalFormatting sqref="G5:U6">
    <cfRule type="containsText" dxfId="6" priority="1" operator="containsText" text="not">
      <formula>NOT(ISERROR(SEARCH("not",G5)))</formula>
    </cfRule>
    <cfRule type="containsText" dxfId="5" priority="2" operator="containsText" text="has">
      <formula>NOT(ISERROR(SEARCH("has",G5)))</formula>
    </cfRule>
  </conditionalFormatting>
  <dataValidations count="1">
    <dataValidation type="list" allowBlank="1" showInputMessage="1" showErrorMessage="1" sqref="G11" xr:uid="{7A567102-E55A-4687-A786-44C8EC9C72E5}">
      <formula1>"House, Hotel / quest house"</formula1>
    </dataValidation>
  </dataValidations>
  <pageMargins left="0.70866141732283472" right="0.70866141732283472" top="0.74803149606299213" bottom="0.74803149606299213" header="0.31496062992125984" footer="0.31496062992125984"/>
  <pageSetup paperSize="9" scale="58" orientation="landscape" horizontalDpi="360" verticalDpi="360" r:id="rId1"/>
  <headerFooter>
    <oddHeader>&amp;LPhosphate Budget Calculator&amp;CStage 4</oddHeader>
    <oddFooter>&amp;LVersion 2.2&amp;R&amp;D</oddFooter>
  </headerFooter>
  <customProperties>
    <customPr name="SSC_SHEET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18237-27E1-4B8C-80DC-748C21B6732C}">
  <sheetPr>
    <tabColor theme="5" tint="0.79998168889431442"/>
    <pageSetUpPr fitToPage="1"/>
  </sheetPr>
  <dimension ref="B1:AB67"/>
  <sheetViews>
    <sheetView topLeftCell="B1" zoomScale="115" zoomScaleNormal="115" workbookViewId="0">
      <selection activeCell="O18" sqref="O18"/>
    </sheetView>
  </sheetViews>
  <sheetFormatPr defaultRowHeight="13.2" x14ac:dyDescent="0.25"/>
  <cols>
    <col min="2" max="3" width="0.77734375" customWidth="1"/>
    <col min="4" max="4" width="6.44140625" hidden="1" customWidth="1"/>
    <col min="5" max="5" width="30.5546875" customWidth="1"/>
    <col min="6" max="6" width="8" customWidth="1"/>
    <col min="7" max="7" width="8.21875" customWidth="1"/>
    <col min="8" max="8" width="7" customWidth="1"/>
    <col min="9" max="9" width="9.21875" customWidth="1"/>
    <col min="10" max="10" width="6.5546875" customWidth="1"/>
    <col min="11" max="11" width="7.44140625" customWidth="1"/>
    <col min="12" max="12" width="7.77734375" customWidth="1"/>
    <col min="13" max="13" width="7.44140625" customWidth="1"/>
    <col min="14" max="14" width="7.77734375" customWidth="1"/>
    <col min="15" max="15" width="6.77734375" customWidth="1"/>
    <col min="16" max="16" width="7.5546875" customWidth="1"/>
    <col min="17" max="17" width="8.21875" customWidth="1"/>
    <col min="18" max="18" width="7.44140625" customWidth="1"/>
    <col min="19" max="19" width="7.5546875" customWidth="1"/>
    <col min="20" max="21" width="7.21875" customWidth="1"/>
    <col min="22" max="22" width="8.44140625" customWidth="1"/>
    <col min="23" max="23" width="9.5546875" customWidth="1"/>
    <col min="24" max="24" width="7.44140625" customWidth="1"/>
    <col min="25" max="25" width="8.44140625" customWidth="1"/>
    <col min="26" max="26" width="8" customWidth="1"/>
    <col min="27" max="27" width="3.77734375" customWidth="1"/>
    <col min="28" max="28" width="17.21875" customWidth="1"/>
  </cols>
  <sheetData>
    <row r="1" spans="2:28" ht="13.8" thickBot="1" x14ac:dyDescent="0.3"/>
    <row r="2" spans="2:28" ht="3.6" customHeight="1" x14ac:dyDescent="0.25">
      <c r="B2" s="1"/>
      <c r="C2" s="2"/>
      <c r="D2" s="2"/>
      <c r="E2" s="2"/>
      <c r="F2" s="2"/>
      <c r="G2" s="2"/>
      <c r="H2" s="2"/>
      <c r="I2" s="2"/>
      <c r="J2" s="2"/>
      <c r="K2" s="2"/>
      <c r="L2" s="2"/>
      <c r="M2" s="2"/>
      <c r="N2" s="2"/>
      <c r="O2" s="2"/>
      <c r="P2" s="2"/>
      <c r="Q2" s="2"/>
      <c r="R2" s="2"/>
      <c r="S2" s="2"/>
      <c r="T2" s="2"/>
      <c r="U2" s="2"/>
      <c r="V2" s="2"/>
      <c r="W2" s="2"/>
      <c r="X2" s="2"/>
      <c r="Y2" s="2"/>
      <c r="Z2" s="2"/>
      <c r="AA2" s="2"/>
      <c r="AB2" s="3"/>
    </row>
    <row r="3" spans="2:28" ht="11.1" customHeight="1" x14ac:dyDescent="0.3">
      <c r="B3" s="4"/>
      <c r="C3" s="5"/>
      <c r="D3" s="5"/>
      <c r="E3" s="42" t="s">
        <v>424</v>
      </c>
      <c r="F3" s="42"/>
      <c r="G3" s="42"/>
      <c r="H3" s="42"/>
      <c r="I3" s="42"/>
      <c r="J3" s="42"/>
      <c r="K3" s="42"/>
      <c r="L3" s="42"/>
      <c r="M3" s="42"/>
      <c r="N3" s="42"/>
      <c r="O3" s="42"/>
      <c r="P3" s="42"/>
      <c r="Q3" s="42"/>
      <c r="R3" s="42"/>
      <c r="S3" s="42"/>
      <c r="T3" s="42"/>
      <c r="U3" s="42"/>
      <c r="V3" s="42"/>
      <c r="W3" s="42"/>
      <c r="X3" s="42"/>
      <c r="Y3" s="42"/>
      <c r="Z3" s="42"/>
      <c r="AA3" s="42"/>
      <c r="AB3" s="47"/>
    </row>
    <row r="4" spans="2:28" ht="2.1" customHeight="1" x14ac:dyDescent="0.3">
      <c r="B4" s="4"/>
      <c r="C4" s="11"/>
      <c r="D4" s="5"/>
      <c r="E4" s="42"/>
      <c r="F4" s="59">
        <v>1</v>
      </c>
      <c r="G4" s="59">
        <v>0.95</v>
      </c>
      <c r="H4" s="59">
        <v>0.9</v>
      </c>
      <c r="I4" s="59">
        <v>0.85</v>
      </c>
      <c r="J4" s="59">
        <v>0.8</v>
      </c>
      <c r="K4" s="59">
        <v>0.75</v>
      </c>
      <c r="L4" s="59">
        <v>0.7</v>
      </c>
      <c r="M4" s="59">
        <v>0.65</v>
      </c>
      <c r="N4" s="59">
        <v>0.6</v>
      </c>
      <c r="O4" s="59">
        <v>0.55000000000000004</v>
      </c>
      <c r="P4" s="59">
        <v>0.5</v>
      </c>
      <c r="Q4" s="60">
        <v>0.45</v>
      </c>
      <c r="R4" s="59">
        <v>0.39999999999999902</v>
      </c>
      <c r="S4" s="60">
        <v>0.34999999999999898</v>
      </c>
      <c r="T4" s="59">
        <v>0.29999999999999899</v>
      </c>
      <c r="U4" s="59">
        <v>0.249999999999999</v>
      </c>
      <c r="V4" s="59">
        <v>0.19999999999999901</v>
      </c>
      <c r="W4" s="59">
        <v>0.149999999999999</v>
      </c>
      <c r="X4" s="59">
        <v>9.9999999999999006E-2</v>
      </c>
      <c r="Y4" s="59">
        <v>4.9999999999998997E-2</v>
      </c>
      <c r="Z4" s="42"/>
      <c r="AA4" s="42"/>
      <c r="AB4" s="47"/>
    </row>
    <row r="5" spans="2:28" ht="13.8" x14ac:dyDescent="0.3">
      <c r="B5" s="4"/>
      <c r="C5" s="11"/>
      <c r="D5" s="5"/>
      <c r="E5" s="61" t="s">
        <v>136</v>
      </c>
      <c r="F5" s="61">
        <v>100</v>
      </c>
      <c r="G5" s="61">
        <v>95</v>
      </c>
      <c r="H5" s="61">
        <v>90</v>
      </c>
      <c r="I5" s="61">
        <v>85</v>
      </c>
      <c r="J5" s="61">
        <v>80</v>
      </c>
      <c r="K5" s="61">
        <v>75</v>
      </c>
      <c r="L5" s="61">
        <v>70</v>
      </c>
      <c r="M5" s="61">
        <v>65</v>
      </c>
      <c r="N5" s="61">
        <v>60</v>
      </c>
      <c r="O5" s="61">
        <v>55</v>
      </c>
      <c r="P5" s="61">
        <v>50</v>
      </c>
      <c r="Q5" s="61">
        <v>45</v>
      </c>
      <c r="R5" s="61">
        <v>40</v>
      </c>
      <c r="S5" s="61">
        <v>35</v>
      </c>
      <c r="T5" s="61">
        <v>30</v>
      </c>
      <c r="U5" s="61">
        <v>25</v>
      </c>
      <c r="V5" s="61">
        <v>20</v>
      </c>
      <c r="W5" s="61">
        <v>15</v>
      </c>
      <c r="X5" s="61">
        <v>10</v>
      </c>
      <c r="Y5" s="61">
        <v>5</v>
      </c>
      <c r="Z5" s="61">
        <v>0</v>
      </c>
      <c r="AA5" s="61"/>
      <c r="AB5" s="62" t="e">
        <f>'Zero value Calc'!T15</f>
        <v>#DIV/0!</v>
      </c>
    </row>
    <row r="6" spans="2:28" ht="24.6" customHeight="1" x14ac:dyDescent="0.3">
      <c r="B6" s="4"/>
      <c r="C6" s="5"/>
      <c r="D6" s="5"/>
      <c r="E6" s="61" t="s">
        <v>137</v>
      </c>
      <c r="F6" s="61">
        <v>0</v>
      </c>
      <c r="G6" s="61">
        <v>0.05</v>
      </c>
      <c r="H6" s="61">
        <v>0.1</v>
      </c>
      <c r="I6" s="61">
        <v>0.15</v>
      </c>
      <c r="J6" s="61">
        <v>0.2</v>
      </c>
      <c r="K6" s="61">
        <v>0.25</v>
      </c>
      <c r="L6" s="61">
        <v>0.3</v>
      </c>
      <c r="M6" s="61">
        <v>0.35</v>
      </c>
      <c r="N6" s="61">
        <v>0.4</v>
      </c>
      <c r="O6" s="61">
        <v>0.45</v>
      </c>
      <c r="P6" s="61">
        <v>0.5</v>
      </c>
      <c r="Q6" s="61">
        <v>0.55000000000000004</v>
      </c>
      <c r="R6" s="61">
        <v>0.6</v>
      </c>
      <c r="S6" s="61">
        <v>0.65</v>
      </c>
      <c r="T6" s="61">
        <v>0.7</v>
      </c>
      <c r="U6" s="61">
        <v>0.75</v>
      </c>
      <c r="V6" s="61">
        <v>0.8</v>
      </c>
      <c r="W6" s="61">
        <v>0.85</v>
      </c>
      <c r="X6" s="61">
        <v>0.9</v>
      </c>
      <c r="Y6" s="61">
        <v>0.95</v>
      </c>
      <c r="Z6" s="61">
        <v>1</v>
      </c>
      <c r="AA6" s="61"/>
      <c r="AB6" s="63" t="e">
        <f>1-AB5/100</f>
        <v>#DIV/0!</v>
      </c>
    </row>
    <row r="7" spans="2:28" ht="11.1" customHeight="1" x14ac:dyDescent="0.3">
      <c r="B7" s="4"/>
      <c r="C7" s="5"/>
      <c r="D7" s="5"/>
      <c r="E7" s="61" t="s">
        <v>147</v>
      </c>
      <c r="F7" s="64">
        <v>1</v>
      </c>
      <c r="G7" s="64">
        <v>0.95</v>
      </c>
      <c r="H7" s="64">
        <v>0.9</v>
      </c>
      <c r="I7" s="64">
        <v>0.85</v>
      </c>
      <c r="J7" s="64">
        <v>0.8</v>
      </c>
      <c r="K7" s="64">
        <v>0.75</v>
      </c>
      <c r="L7" s="64">
        <v>0.7</v>
      </c>
      <c r="M7" s="64">
        <v>0.65</v>
      </c>
      <c r="N7" s="64">
        <v>0.6</v>
      </c>
      <c r="O7" s="64">
        <v>0.55000000000000004</v>
      </c>
      <c r="P7" s="64">
        <v>0.5</v>
      </c>
      <c r="Q7" s="64">
        <v>0.45</v>
      </c>
      <c r="R7" s="64">
        <v>0.39999999999999902</v>
      </c>
      <c r="S7" s="64">
        <v>0.34999999999999898</v>
      </c>
      <c r="T7" s="64">
        <v>0.29999999999999899</v>
      </c>
      <c r="U7" s="64">
        <v>0.249999999999999</v>
      </c>
      <c r="V7" s="64">
        <v>0.19999999999999901</v>
      </c>
      <c r="W7" s="64">
        <v>0.149999999999999</v>
      </c>
      <c r="X7" s="64">
        <v>9.9999999999999006E-2</v>
      </c>
      <c r="Y7" s="64">
        <v>4.9999999999998997E-2</v>
      </c>
      <c r="Z7" s="64">
        <v>-9.9920072216264108E-16</v>
      </c>
      <c r="AA7" s="61"/>
      <c r="AB7" s="63" t="e">
        <f>AB5/100</f>
        <v>#DIV/0!</v>
      </c>
    </row>
    <row r="8" spans="2:28" ht="11.1" customHeight="1" x14ac:dyDescent="0.3">
      <c r="B8" s="4"/>
      <c r="C8" s="5"/>
      <c r="D8" s="5"/>
      <c r="E8" s="61" t="s">
        <v>138</v>
      </c>
      <c r="F8" s="64">
        <f>('Stage 3'!$K$36)*'Graph Calculations'!F6</f>
        <v>0</v>
      </c>
      <c r="G8" s="64">
        <f>('Stage 3'!$K$36)*'Graph Calculations'!G6</f>
        <v>0</v>
      </c>
      <c r="H8" s="64">
        <f>('Stage 3'!$K$36)*'Graph Calculations'!H6</f>
        <v>0</v>
      </c>
      <c r="I8" s="64">
        <f>('Stage 3'!$K$36)*'Graph Calculations'!I6</f>
        <v>0</v>
      </c>
      <c r="J8" s="64">
        <f>('Stage 3'!$K$36)*'Graph Calculations'!J6</f>
        <v>0</v>
      </c>
      <c r="K8" s="64">
        <f>('Stage 3'!$K$36)*'Graph Calculations'!K6</f>
        <v>0</v>
      </c>
      <c r="L8" s="64">
        <f>('Stage 3'!$K$36)*'Graph Calculations'!L6</f>
        <v>0</v>
      </c>
      <c r="M8" s="64">
        <f>('Stage 3'!$K$36)*'Graph Calculations'!M6</f>
        <v>0</v>
      </c>
      <c r="N8" s="64">
        <f>('Stage 3'!$K$36)*'Graph Calculations'!N6</f>
        <v>0</v>
      </c>
      <c r="O8" s="64">
        <f>('Stage 3'!$K$36)*'Graph Calculations'!O6</f>
        <v>0</v>
      </c>
      <c r="P8" s="64">
        <f>('Stage 3'!$K$36)*'Graph Calculations'!P6</f>
        <v>0</v>
      </c>
      <c r="Q8" s="64">
        <f>('Stage 3'!$K$36)*'Graph Calculations'!Q6</f>
        <v>0</v>
      </c>
      <c r="R8" s="64">
        <f>('Stage 3'!$K$36)*'Graph Calculations'!R6</f>
        <v>0</v>
      </c>
      <c r="S8" s="64">
        <f>('Stage 3'!$K$36)*'Graph Calculations'!S6</f>
        <v>0</v>
      </c>
      <c r="T8" s="64">
        <f>('Stage 3'!$K$36)*'Graph Calculations'!T6</f>
        <v>0</v>
      </c>
      <c r="U8" s="64">
        <f>('Stage 3'!$K$36)*'Graph Calculations'!U6</f>
        <v>0</v>
      </c>
      <c r="V8" s="64">
        <f>('Stage 3'!$K$36)*'Graph Calculations'!V6</f>
        <v>0</v>
      </c>
      <c r="W8" s="64">
        <f>('Stage 3'!$K$36)*'Graph Calculations'!W6</f>
        <v>0</v>
      </c>
      <c r="X8" s="64">
        <f>('Stage 3'!$K$36)*'Graph Calculations'!X6</f>
        <v>0</v>
      </c>
      <c r="Y8" s="64">
        <f>('Stage 3'!$K$36)*'Graph Calculations'!Y6</f>
        <v>0</v>
      </c>
      <c r="Z8" s="64">
        <f>('Stage 3'!$K$36)*'Graph Calculations'!Z6</f>
        <v>0</v>
      </c>
      <c r="AA8" s="61"/>
      <c r="AB8" s="62" t="e">
        <f>('Stage 3'!$K$36)*'Graph Calculations'!AB6</f>
        <v>#DIV/0!</v>
      </c>
    </row>
    <row r="9" spans="2:28" ht="11.1" customHeight="1" x14ac:dyDescent="0.3">
      <c r="B9" s="4"/>
      <c r="C9" s="5"/>
      <c r="D9" s="5"/>
      <c r="E9" s="61" t="s">
        <v>148</v>
      </c>
      <c r="F9" s="64">
        <f>('Zero value Calc'!$K$16*'Data Tables'!$O$9)*F7</f>
        <v>0</v>
      </c>
      <c r="G9" s="64">
        <f>('Zero value Calc'!$K$16*'Data Tables'!$O$9)*G7</f>
        <v>0</v>
      </c>
      <c r="H9" s="64">
        <f>('Zero value Calc'!$K$16*'Data Tables'!$O$9)*H7</f>
        <v>0</v>
      </c>
      <c r="I9" s="64">
        <f>('Zero value Calc'!$K$16*'Data Tables'!$O$9)*I7</f>
        <v>0</v>
      </c>
      <c r="J9" s="64">
        <f>('Zero value Calc'!$K$16*'Data Tables'!$O$9)*J7</f>
        <v>0</v>
      </c>
      <c r="K9" s="64">
        <f>('Zero value Calc'!$K$16*'Data Tables'!$O$9)*K7</f>
        <v>0</v>
      </c>
      <c r="L9" s="64">
        <f>('Zero value Calc'!$K$16*'Data Tables'!$O$9)*L7</f>
        <v>0</v>
      </c>
      <c r="M9" s="64">
        <f>('Zero value Calc'!$K$16*'Data Tables'!$O$9)*M7</f>
        <v>0</v>
      </c>
      <c r="N9" s="64">
        <f>('Zero value Calc'!$K$16*'Data Tables'!$O$9)*N7</f>
        <v>0</v>
      </c>
      <c r="O9" s="64">
        <f>('Zero value Calc'!$K$16*'Data Tables'!$O$9)*O7</f>
        <v>0</v>
      </c>
      <c r="P9" s="64">
        <f>('Zero value Calc'!$K$16*'Data Tables'!$O$9)*P7</f>
        <v>0</v>
      </c>
      <c r="Q9" s="64">
        <f>('Zero value Calc'!$K$16*'Data Tables'!$O$9)*Q7</f>
        <v>0</v>
      </c>
      <c r="R9" s="64">
        <f>('Zero value Calc'!$K$16*'Data Tables'!$O$9)*R7</f>
        <v>0</v>
      </c>
      <c r="S9" s="64">
        <f>('Zero value Calc'!$K$16*'Data Tables'!$O$9)*S7</f>
        <v>0</v>
      </c>
      <c r="T9" s="64">
        <f>('Zero value Calc'!$K$16*'Data Tables'!$O$9)*T7</f>
        <v>0</v>
      </c>
      <c r="U9" s="64">
        <f>('Zero value Calc'!$K$16*'Data Tables'!$O$9)*U7</f>
        <v>0</v>
      </c>
      <c r="V9" s="64">
        <f>('Zero value Calc'!$K$16*'Data Tables'!$O$9)*V7</f>
        <v>0</v>
      </c>
      <c r="W9" s="64">
        <f>('Zero value Calc'!$K$16*'Data Tables'!$O$9)*W7</f>
        <v>0</v>
      </c>
      <c r="X9" s="64">
        <f>('Zero value Calc'!$K$16*'Data Tables'!$O$9)*X7</f>
        <v>0</v>
      </c>
      <c r="Y9" s="64">
        <f>('Zero value Calc'!$K$16*'Data Tables'!$O$9)*Y7</f>
        <v>0</v>
      </c>
      <c r="Z9" s="64">
        <f>('Zero value Calc'!$K$16*'Data Tables'!$O$9)*Z7</f>
        <v>0</v>
      </c>
      <c r="AA9" s="64"/>
      <c r="AB9" s="62" t="e">
        <f>('Zero value Calc'!$K$16*'Data Tables'!$O$9)*AB7</f>
        <v>#DIV/0!</v>
      </c>
    </row>
    <row r="10" spans="2:28" ht="16.05" customHeight="1" x14ac:dyDescent="0.3">
      <c r="B10" s="4"/>
      <c r="C10" s="10"/>
      <c r="D10" s="5"/>
      <c r="E10" s="61" t="s">
        <v>139</v>
      </c>
      <c r="F10" s="64">
        <f>SUM(F8:F9)</f>
        <v>0</v>
      </c>
      <c r="G10" s="64">
        <f t="shared" ref="G10:Z10" si="0">SUM(G8:G9)</f>
        <v>0</v>
      </c>
      <c r="H10" s="64">
        <f t="shared" si="0"/>
        <v>0</v>
      </c>
      <c r="I10" s="64">
        <f>SUM(I8:I9)</f>
        <v>0</v>
      </c>
      <c r="J10" s="64">
        <f t="shared" si="0"/>
        <v>0</v>
      </c>
      <c r="K10" s="64">
        <f t="shared" si="0"/>
        <v>0</v>
      </c>
      <c r="L10" s="64">
        <f>SUM(L8:L9)</f>
        <v>0</v>
      </c>
      <c r="M10" s="64">
        <f t="shared" si="0"/>
        <v>0</v>
      </c>
      <c r="N10" s="64">
        <f t="shared" si="0"/>
        <v>0</v>
      </c>
      <c r="O10" s="64">
        <f t="shared" si="0"/>
        <v>0</v>
      </c>
      <c r="P10" s="64">
        <f t="shared" si="0"/>
        <v>0</v>
      </c>
      <c r="Q10" s="64">
        <f t="shared" si="0"/>
        <v>0</v>
      </c>
      <c r="R10" s="64">
        <f t="shared" si="0"/>
        <v>0</v>
      </c>
      <c r="S10" s="64">
        <f t="shared" si="0"/>
        <v>0</v>
      </c>
      <c r="T10" s="64">
        <f t="shared" si="0"/>
        <v>0</v>
      </c>
      <c r="U10" s="64">
        <f t="shared" si="0"/>
        <v>0</v>
      </c>
      <c r="V10" s="64">
        <f t="shared" si="0"/>
        <v>0</v>
      </c>
      <c r="W10" s="64">
        <f t="shared" si="0"/>
        <v>0</v>
      </c>
      <c r="X10" s="64">
        <f t="shared" si="0"/>
        <v>0</v>
      </c>
      <c r="Y10" s="64">
        <f t="shared" si="0"/>
        <v>0</v>
      </c>
      <c r="Z10" s="64">
        <f t="shared" si="0"/>
        <v>0</v>
      </c>
      <c r="AA10" s="64"/>
      <c r="AB10" s="62" t="e">
        <f t="shared" ref="AB10" si="1">SUM(AB8:AB9)</f>
        <v>#DIV/0!</v>
      </c>
    </row>
    <row r="11" spans="2:28" ht="12" customHeight="1" x14ac:dyDescent="0.3">
      <c r="B11" s="4"/>
      <c r="C11" s="5"/>
      <c r="D11" s="5"/>
      <c r="E11" s="61" t="s">
        <v>140</v>
      </c>
      <c r="F11" s="64">
        <f>F10-'Zero value Calc'!$K$19</f>
        <v>0</v>
      </c>
      <c r="G11" s="64">
        <f>G10-'Zero value Calc'!$K$19</f>
        <v>0</v>
      </c>
      <c r="H11" s="64">
        <f>H10-'Zero value Calc'!$K$19</f>
        <v>0</v>
      </c>
      <c r="I11" s="64">
        <f>I10-'Zero value Calc'!$K$19</f>
        <v>0</v>
      </c>
      <c r="J11" s="64">
        <f>J10-'Zero value Calc'!$K$19</f>
        <v>0</v>
      </c>
      <c r="K11" s="64">
        <f>K10-'Zero value Calc'!$K$19</f>
        <v>0</v>
      </c>
      <c r="L11" s="64">
        <f>L10-'Zero value Calc'!$K$19</f>
        <v>0</v>
      </c>
      <c r="M11" s="64">
        <f>M10-'Zero value Calc'!$K$19</f>
        <v>0</v>
      </c>
      <c r="N11" s="64">
        <f>N10-'Zero value Calc'!$K$19</f>
        <v>0</v>
      </c>
      <c r="O11" s="64">
        <f>O10-'Zero value Calc'!$K$19</f>
        <v>0</v>
      </c>
      <c r="P11" s="64">
        <f>P10-'Zero value Calc'!$K$19</f>
        <v>0</v>
      </c>
      <c r="Q11" s="64">
        <f>Q10-'Zero value Calc'!$K$19</f>
        <v>0</v>
      </c>
      <c r="R11" s="64">
        <f>R10-'Zero value Calc'!$K$19</f>
        <v>0</v>
      </c>
      <c r="S11" s="64">
        <f>S10-'Zero value Calc'!$K$19</f>
        <v>0</v>
      </c>
      <c r="T11" s="64">
        <f>T10-'Zero value Calc'!$K$19</f>
        <v>0</v>
      </c>
      <c r="U11" s="64">
        <f>U10-'Zero value Calc'!$K$19</f>
        <v>0</v>
      </c>
      <c r="V11" s="64">
        <f>V10-'Zero value Calc'!$K$19</f>
        <v>0</v>
      </c>
      <c r="W11" s="64">
        <f>W10-'Zero value Calc'!$K$19</f>
        <v>0</v>
      </c>
      <c r="X11" s="64">
        <f>X10-'Zero value Calc'!$K$19</f>
        <v>0</v>
      </c>
      <c r="Y11" s="64">
        <f>Y10-'Zero value Calc'!$K$19</f>
        <v>0</v>
      </c>
      <c r="Z11" s="64">
        <f>Z10-'Zero value Calc'!$K$19</f>
        <v>0</v>
      </c>
      <c r="AA11" s="64"/>
      <c r="AB11" s="62" t="e">
        <f>AB10-'Zero value Calc'!$K$19</f>
        <v>#DIV/0!</v>
      </c>
    </row>
    <row r="12" spans="2:28" ht="13.8" x14ac:dyDescent="0.3">
      <c r="B12" s="4"/>
      <c r="C12" s="5"/>
      <c r="D12" s="5"/>
      <c r="E12" s="61" t="s">
        <v>141</v>
      </c>
      <c r="F12" s="64" t="e">
        <f>('Zero value Calc'!$K$15/'Zero value Calc'!$K$16)*(F6*'Zero value Calc'!$K$16)</f>
        <v>#DIV/0!</v>
      </c>
      <c r="G12" s="64" t="e">
        <f>('Zero value Calc'!$K$15/'Zero value Calc'!$K$16)*(G6*'Zero value Calc'!$K$16)</f>
        <v>#DIV/0!</v>
      </c>
      <c r="H12" s="64" t="e">
        <f>('Zero value Calc'!$K$15/'Zero value Calc'!$K$16)*(H6*'Zero value Calc'!$K$16)</f>
        <v>#DIV/0!</v>
      </c>
      <c r="I12" s="64" t="e">
        <f>('Zero value Calc'!$K$15/'Zero value Calc'!$K$16)*(I6*'Zero value Calc'!$K$16)</f>
        <v>#DIV/0!</v>
      </c>
      <c r="J12" s="64" t="e">
        <f>('Zero value Calc'!$K$15/'Zero value Calc'!$K$16)*(J6*'Zero value Calc'!$K$16)</f>
        <v>#DIV/0!</v>
      </c>
      <c r="K12" s="64" t="e">
        <f>('Zero value Calc'!$K$15/'Zero value Calc'!$K$16)*(K6*'Zero value Calc'!$K$16)</f>
        <v>#DIV/0!</v>
      </c>
      <c r="L12" s="64" t="e">
        <f>('Zero value Calc'!$K$15/'Zero value Calc'!$K$16)*(L6*'Zero value Calc'!$K$16)</f>
        <v>#DIV/0!</v>
      </c>
      <c r="M12" s="64" t="e">
        <f>('Zero value Calc'!$K$15/'Zero value Calc'!$K$16)*(M6*'Zero value Calc'!$K$16)</f>
        <v>#DIV/0!</v>
      </c>
      <c r="N12" s="64" t="e">
        <f>('Zero value Calc'!$K$15/'Zero value Calc'!$K$16)*(N6*'Zero value Calc'!$K$16)</f>
        <v>#DIV/0!</v>
      </c>
      <c r="O12" s="64" t="e">
        <f>('Zero value Calc'!$K$15/'Zero value Calc'!$K$16)*(O6*'Zero value Calc'!$K$16)</f>
        <v>#DIV/0!</v>
      </c>
      <c r="P12" s="64" t="e">
        <f>('Zero value Calc'!$K$15/'Zero value Calc'!$K$16)*(P6*'Zero value Calc'!$K$16)</f>
        <v>#DIV/0!</v>
      </c>
      <c r="Q12" s="64" t="e">
        <f>('Zero value Calc'!$K$15/'Zero value Calc'!$K$16)*(Q6*'Zero value Calc'!$K$16)</f>
        <v>#DIV/0!</v>
      </c>
      <c r="R12" s="64" t="e">
        <f>('Zero value Calc'!$K$15/'Zero value Calc'!$K$16)*(R6*'Zero value Calc'!$K$16)</f>
        <v>#DIV/0!</v>
      </c>
      <c r="S12" s="64" t="e">
        <f>('Zero value Calc'!$K$15/'Zero value Calc'!$K$16)*(S6*'Zero value Calc'!$K$16)</f>
        <v>#DIV/0!</v>
      </c>
      <c r="T12" s="64" t="e">
        <f>('Zero value Calc'!$K$15/'Zero value Calc'!$K$16)*(T6*'Zero value Calc'!$K$16)</f>
        <v>#DIV/0!</v>
      </c>
      <c r="U12" s="64" t="e">
        <f>('Zero value Calc'!$K$15/'Zero value Calc'!$K$16)*(U6*'Zero value Calc'!$K$16)</f>
        <v>#DIV/0!</v>
      </c>
      <c r="V12" s="64" t="e">
        <f>('Zero value Calc'!$K$15/'Zero value Calc'!$K$16)*(V6*'Zero value Calc'!$K$16)</f>
        <v>#DIV/0!</v>
      </c>
      <c r="W12" s="64" t="e">
        <f>('Zero value Calc'!$K$15/'Zero value Calc'!$K$16)*(W6*'Zero value Calc'!$K$16)</f>
        <v>#DIV/0!</v>
      </c>
      <c r="X12" s="64" t="e">
        <f>('Zero value Calc'!$K$15/'Zero value Calc'!$K$16)*(X6*'Zero value Calc'!$K$16)</f>
        <v>#DIV/0!</v>
      </c>
      <c r="Y12" s="64" t="e">
        <f>('Zero value Calc'!$K$15/'Zero value Calc'!$K$16)*(Y6*'Zero value Calc'!$K$16)</f>
        <v>#DIV/0!</v>
      </c>
      <c r="Z12" s="64" t="e">
        <f>('Zero value Calc'!$K$15/'Zero value Calc'!$K$16)*(Z6*'Zero value Calc'!$K$16)</f>
        <v>#DIV/0!</v>
      </c>
      <c r="AA12" s="64"/>
      <c r="AB12" s="62" t="e">
        <f>('Zero value Calc'!$K$15/'Zero value Calc'!$K$16)*(AB6*'Zero value Calc'!$K$16)</f>
        <v>#DIV/0!</v>
      </c>
    </row>
    <row r="13" spans="2:28" ht="13.8" x14ac:dyDescent="0.3">
      <c r="B13" s="4"/>
      <c r="C13" s="5"/>
      <c r="D13" s="5"/>
      <c r="E13" s="61" t="s">
        <v>49</v>
      </c>
      <c r="F13" s="64" t="e">
        <f>((((F12*(IF('Zero value Calc'!$G$11="House",'Stage 1'!$V$12,0)+IF('Zero value Calc'!$G$11="Hotel / quest house",'Stage 1'!$V$18,0))*'Stage 1'!$V$33)*'Stage 1'!$K$52)/1000000)*365.25)</f>
        <v>#DIV/0!</v>
      </c>
      <c r="G13" s="64" t="e">
        <f>((((G12*(IF('Zero value Calc'!$G$11="House",'Stage 1'!$V$12,0)+IF('Zero value Calc'!$G$11="Hotel / quest house",'Stage 1'!$V$18,0))*'Stage 1'!$V$33)*'Stage 1'!$K$52)/1000000)*365.25)</f>
        <v>#DIV/0!</v>
      </c>
      <c r="H13" s="64" t="e">
        <f>((((H12*(IF('Zero value Calc'!$G$11="House",'Stage 1'!$V$12,0)+IF('Zero value Calc'!$G$11="Hotel / quest house",'Stage 1'!$V$18,0))*'Stage 1'!$V$33)*'Stage 1'!$K$52)/1000000)*365.25)</f>
        <v>#DIV/0!</v>
      </c>
      <c r="I13" s="64" t="e">
        <f>((((I12*(IF('Zero value Calc'!$G$11="House",'Stage 1'!$V$12,0)+IF('Zero value Calc'!$G$11="Hotel / quest house",'Stage 1'!$V$18,0))*'Stage 1'!$V$33)*'Stage 1'!$K$52)/1000000)*365.25)</f>
        <v>#DIV/0!</v>
      </c>
      <c r="J13" s="64" t="e">
        <f>((((J12*(IF('Zero value Calc'!$G$11="House",'Stage 1'!$V$12,0)+IF('Zero value Calc'!$G$11="Hotel / quest house",'Stage 1'!$V$18,0))*'Stage 1'!$V$33)*'Stage 1'!$K$52)/1000000)*365.25)</f>
        <v>#DIV/0!</v>
      </c>
      <c r="K13" s="64" t="e">
        <f>((((K12*(IF('Zero value Calc'!$G$11="House",'Stage 1'!$V$12,0)+IF('Zero value Calc'!$G$11="Hotel / quest house",'Stage 1'!$V$18,0))*'Stage 1'!$V$33)*'Stage 1'!$K$52)/1000000)*365.25)</f>
        <v>#DIV/0!</v>
      </c>
      <c r="L13" s="64" t="e">
        <f>((((L12*(IF('Zero value Calc'!$G$11="House",'Stage 1'!$V$12,0)+IF('Zero value Calc'!$G$11="Hotel / quest house",'Stage 1'!$V$18,0))*'Stage 1'!$V$33)*'Stage 1'!$K$52)/1000000)*365.25)</f>
        <v>#DIV/0!</v>
      </c>
      <c r="M13" s="64" t="e">
        <f>((((M12*(IF('Zero value Calc'!$G$11="House",'Stage 1'!$V$12,0)+IF('Zero value Calc'!$G$11="Hotel / quest house",'Stage 1'!$V$18,0))*'Stage 1'!$V$33)*'Stage 1'!$K$52)/1000000)*365.25)</f>
        <v>#DIV/0!</v>
      </c>
      <c r="N13" s="64" t="e">
        <f>((((N12*(IF('Zero value Calc'!$G$11="House",'Stage 1'!$V$12,0)+IF('Zero value Calc'!$G$11="Hotel / quest house",'Stage 1'!$V$18,0))*'Stage 1'!$V$33)*'Stage 1'!$K$52)/1000000)*365.25)</f>
        <v>#DIV/0!</v>
      </c>
      <c r="O13" s="64" t="e">
        <f>((((O12*(IF('Zero value Calc'!$G$11="House",'Stage 1'!$V$12,0)+IF('Zero value Calc'!$G$11="Hotel / quest house",'Stage 1'!$V$18,0))*'Stage 1'!$V$33)*'Stage 1'!$K$52)/1000000)*365.25)</f>
        <v>#DIV/0!</v>
      </c>
      <c r="P13" s="64" t="e">
        <f>((((P12*(IF('Zero value Calc'!$G$11="House",'Stage 1'!$V$12,0)+IF('Zero value Calc'!$G$11="Hotel / quest house",'Stage 1'!$V$18,0))*'Stage 1'!$V$33)*'Stage 1'!$K$52)/1000000)*365.25)</f>
        <v>#DIV/0!</v>
      </c>
      <c r="Q13" s="64" t="e">
        <f>((((Q12*(IF('Zero value Calc'!$G$11="House",'Stage 1'!$V$12,0)+IF('Zero value Calc'!$G$11="Hotel / quest house",'Stage 1'!$V$18,0))*'Stage 1'!$V$33)*'Stage 1'!$K$52)/1000000)*365.25)</f>
        <v>#DIV/0!</v>
      </c>
      <c r="R13" s="64" t="e">
        <f>((((R12*(IF('Zero value Calc'!$G$11="House",'Stage 1'!$V$12,0)+IF('Zero value Calc'!$G$11="Hotel / quest house",'Stage 1'!$V$18,0))*'Stage 1'!$V$33)*'Stage 1'!$K$52)/1000000)*365.25)</f>
        <v>#DIV/0!</v>
      </c>
      <c r="S13" s="64" t="e">
        <f>((((S12*(IF('Zero value Calc'!$G$11="House",'Stage 1'!$V$12,0)+IF('Zero value Calc'!$G$11="Hotel / quest house",'Stage 1'!$V$18,0))*'Stage 1'!$V$33)*'Stage 1'!$K$52)/1000000)*365.25)</f>
        <v>#DIV/0!</v>
      </c>
      <c r="T13" s="64" t="e">
        <f>((((T12*(IF('Zero value Calc'!$G$11="House",'Stage 1'!$V$12,0)+IF('Zero value Calc'!$G$11="Hotel / quest house",'Stage 1'!$V$18,0))*'Stage 1'!$V$33)*'Stage 1'!$K$52)/1000000)*365.25)</f>
        <v>#DIV/0!</v>
      </c>
      <c r="U13" s="64" t="e">
        <f>((((U12*(IF('Zero value Calc'!$G$11="House",'Stage 1'!$V$12,0)+IF('Zero value Calc'!$G$11="Hotel / quest house",'Stage 1'!$V$18,0))*'Stage 1'!$V$33)*'Stage 1'!$K$52)/1000000)*365.25)</f>
        <v>#DIV/0!</v>
      </c>
      <c r="V13" s="64" t="e">
        <f>((((V12*(IF('Zero value Calc'!$G$11="House",'Stage 1'!$V$12,0)+IF('Zero value Calc'!$G$11="Hotel / quest house",'Stage 1'!$V$18,0))*'Stage 1'!$V$33)*'Stage 1'!$K$52)/1000000)*365.25)</f>
        <v>#DIV/0!</v>
      </c>
      <c r="W13" s="64" t="e">
        <f>((((W12*(IF('Zero value Calc'!$G$11="House",'Stage 1'!$V$12,0)+IF('Zero value Calc'!$G$11="Hotel / quest house",'Stage 1'!$V$18,0))*'Stage 1'!$V$33)*'Stage 1'!$K$52)/1000000)*365.25)</f>
        <v>#DIV/0!</v>
      </c>
      <c r="X13" s="64" t="e">
        <f>((((X12*(IF('Zero value Calc'!$G$11="House",'Stage 1'!$V$12,0)+IF('Zero value Calc'!$G$11="Hotel / quest house",'Stage 1'!$V$18,0))*'Stage 1'!$V$33)*'Stage 1'!$K$52)/1000000)*365.25)</f>
        <v>#DIV/0!</v>
      </c>
      <c r="Y13" s="64" t="e">
        <f>((((Y12*(IF('Zero value Calc'!$G$11="House",'Stage 1'!$V$12,0)+IF('Zero value Calc'!$G$11="Hotel / quest house",'Stage 1'!$V$18,0))*'Stage 1'!$V$33)*'Stage 1'!$K$52)/1000000)*365.25)</f>
        <v>#DIV/0!</v>
      </c>
      <c r="Z13" s="64" t="e">
        <f>((((Z12*(IF('Zero value Calc'!$G$11="House",'Stage 1'!$V$12,0)+IF('Zero value Calc'!$G$11="Hotel / quest house",'Stage 1'!$V$18,0))*'Stage 1'!$V$33)*'Stage 1'!$K$52)/1000000)*365.25)</f>
        <v>#DIV/0!</v>
      </c>
      <c r="AA13" s="64"/>
      <c r="AB13" s="65" t="e">
        <f>((((AB12*(IF('Zero value Calc'!$G$11="House",'Stage 1'!$V$12,0)+IF('Zero value Calc'!$G$11="Hotel / quest house",'Stage 1'!$V$18,0)))*'Stage 1'!$V$33)*'Stage 1'!$K$52)/1000000)*365.25</f>
        <v>#DIV/0!</v>
      </c>
    </row>
    <row r="14" spans="2:28" ht="12" customHeight="1" x14ac:dyDescent="0.3">
      <c r="B14" s="4"/>
      <c r="C14" s="5"/>
      <c r="D14" s="5"/>
      <c r="E14" s="61" t="s">
        <v>50</v>
      </c>
      <c r="F14" s="64" t="e">
        <f>F11+F13</f>
        <v>#DIV/0!</v>
      </c>
      <c r="G14" s="64" t="e">
        <f t="shared" ref="G14:Z14" si="2">G11+G13</f>
        <v>#DIV/0!</v>
      </c>
      <c r="H14" s="64" t="e">
        <f t="shared" si="2"/>
        <v>#DIV/0!</v>
      </c>
      <c r="I14" s="64" t="e">
        <f t="shared" si="2"/>
        <v>#DIV/0!</v>
      </c>
      <c r="J14" s="64" t="e">
        <f t="shared" si="2"/>
        <v>#DIV/0!</v>
      </c>
      <c r="K14" s="64" t="e">
        <f t="shared" si="2"/>
        <v>#DIV/0!</v>
      </c>
      <c r="L14" s="64" t="e">
        <f t="shared" si="2"/>
        <v>#DIV/0!</v>
      </c>
      <c r="M14" s="64" t="e">
        <f t="shared" si="2"/>
        <v>#DIV/0!</v>
      </c>
      <c r="N14" s="64" t="e">
        <f t="shared" si="2"/>
        <v>#DIV/0!</v>
      </c>
      <c r="O14" s="64" t="e">
        <f t="shared" si="2"/>
        <v>#DIV/0!</v>
      </c>
      <c r="P14" s="64" t="e">
        <f t="shared" si="2"/>
        <v>#DIV/0!</v>
      </c>
      <c r="Q14" s="64" t="e">
        <f t="shared" si="2"/>
        <v>#DIV/0!</v>
      </c>
      <c r="R14" s="64" t="e">
        <f t="shared" si="2"/>
        <v>#DIV/0!</v>
      </c>
      <c r="S14" s="64" t="e">
        <f t="shared" si="2"/>
        <v>#DIV/0!</v>
      </c>
      <c r="T14" s="64" t="e">
        <f t="shared" si="2"/>
        <v>#DIV/0!</v>
      </c>
      <c r="U14" s="64" t="e">
        <f t="shared" si="2"/>
        <v>#DIV/0!</v>
      </c>
      <c r="V14" s="64" t="e">
        <f t="shared" si="2"/>
        <v>#DIV/0!</v>
      </c>
      <c r="W14" s="64" t="e">
        <f t="shared" si="2"/>
        <v>#DIV/0!</v>
      </c>
      <c r="X14" s="64" t="e">
        <f t="shared" si="2"/>
        <v>#DIV/0!</v>
      </c>
      <c r="Y14" s="64" t="e">
        <f t="shared" si="2"/>
        <v>#DIV/0!</v>
      </c>
      <c r="Z14" s="64" t="e">
        <f t="shared" si="2"/>
        <v>#DIV/0!</v>
      </c>
      <c r="AA14" s="64"/>
      <c r="AB14" s="62" t="e">
        <f t="shared" ref="AB14" si="3">AB11+AB13</f>
        <v>#DIV/0!</v>
      </c>
    </row>
    <row r="15" spans="2:28" ht="6.6" customHeight="1" x14ac:dyDescent="0.3">
      <c r="B15" s="4"/>
      <c r="C15" s="5"/>
      <c r="D15" s="5"/>
      <c r="E15" s="42"/>
      <c r="F15" s="57"/>
      <c r="G15" s="57"/>
      <c r="H15" s="57"/>
      <c r="I15" s="57"/>
      <c r="J15" s="57"/>
      <c r="K15" s="57"/>
      <c r="L15" s="57"/>
      <c r="M15" s="57"/>
      <c r="N15" s="57"/>
      <c r="O15" s="57"/>
      <c r="P15" s="57"/>
      <c r="Q15" s="57"/>
      <c r="R15" s="57"/>
      <c r="S15" s="57"/>
      <c r="T15" s="57"/>
      <c r="U15" s="57"/>
      <c r="V15" s="57"/>
      <c r="W15" s="57"/>
      <c r="X15" s="57"/>
      <c r="Y15" s="57"/>
      <c r="Z15" s="57"/>
      <c r="AA15" s="57"/>
      <c r="AB15" s="112"/>
    </row>
    <row r="16" spans="2:28" ht="12" customHeight="1" x14ac:dyDescent="0.3">
      <c r="B16" s="4"/>
      <c r="C16" s="5"/>
      <c r="D16" s="5"/>
      <c r="E16" s="42" t="s">
        <v>425</v>
      </c>
      <c r="F16" s="57"/>
      <c r="G16" s="57"/>
      <c r="H16" s="57"/>
      <c r="I16" s="57"/>
      <c r="J16" s="57"/>
      <c r="K16" s="57"/>
      <c r="L16" s="57"/>
      <c r="M16" s="57"/>
      <c r="N16" s="57"/>
      <c r="O16" s="57"/>
      <c r="P16" s="57"/>
      <c r="Q16" s="57"/>
      <c r="R16" s="57"/>
      <c r="S16" s="57"/>
      <c r="T16" s="57"/>
      <c r="U16" s="57"/>
      <c r="V16" s="57"/>
      <c r="W16" s="57"/>
      <c r="X16" s="57"/>
      <c r="Y16" s="57"/>
      <c r="Z16" s="57"/>
      <c r="AA16" s="57"/>
      <c r="AB16" s="112"/>
    </row>
    <row r="17" spans="2:28" ht="12" customHeight="1" x14ac:dyDescent="0.3">
      <c r="B17" s="4"/>
      <c r="C17" s="5"/>
      <c r="D17" s="5"/>
      <c r="E17" s="61" t="s">
        <v>136</v>
      </c>
      <c r="F17" s="61">
        <v>100</v>
      </c>
      <c r="G17" s="61">
        <v>95</v>
      </c>
      <c r="H17" s="61">
        <v>90</v>
      </c>
      <c r="I17" s="61">
        <v>85</v>
      </c>
      <c r="J17" s="61">
        <v>80</v>
      </c>
      <c r="K17" s="61">
        <v>75</v>
      </c>
      <c r="L17" s="61">
        <v>70</v>
      </c>
      <c r="M17" s="61">
        <v>65</v>
      </c>
      <c r="N17" s="61">
        <v>60</v>
      </c>
      <c r="O17" s="61">
        <v>55</v>
      </c>
      <c r="P17" s="61">
        <v>50</v>
      </c>
      <c r="Q17" s="61">
        <v>45</v>
      </c>
      <c r="R17" s="61">
        <v>40</v>
      </c>
      <c r="S17" s="61">
        <v>35</v>
      </c>
      <c r="T17" s="61">
        <v>30</v>
      </c>
      <c r="U17" s="61">
        <v>25</v>
      </c>
      <c r="V17" s="61">
        <v>20</v>
      </c>
      <c r="W17" s="61">
        <v>15</v>
      </c>
      <c r="X17" s="61">
        <v>10</v>
      </c>
      <c r="Y17" s="61">
        <v>5</v>
      </c>
      <c r="Z17" s="61">
        <v>0</v>
      </c>
      <c r="AA17" s="61"/>
      <c r="AB17" s="62" t="e">
        <f>'Zero value Calc'!T20</f>
        <v>#DIV/0!</v>
      </c>
    </row>
    <row r="18" spans="2:28" ht="12" customHeight="1" x14ac:dyDescent="0.3">
      <c r="B18" s="4"/>
      <c r="C18" s="5"/>
      <c r="D18" s="5"/>
      <c r="E18" s="61" t="s">
        <v>137</v>
      </c>
      <c r="F18" s="61">
        <v>0</v>
      </c>
      <c r="G18" s="61">
        <v>0.05</v>
      </c>
      <c r="H18" s="61">
        <v>0.1</v>
      </c>
      <c r="I18" s="61">
        <v>0.15</v>
      </c>
      <c r="J18" s="61">
        <v>0.2</v>
      </c>
      <c r="K18" s="61">
        <v>0.25</v>
      </c>
      <c r="L18" s="61">
        <v>0.3</v>
      </c>
      <c r="M18" s="61">
        <v>0.35</v>
      </c>
      <c r="N18" s="61">
        <v>0.4</v>
      </c>
      <c r="O18" s="61">
        <v>0.45</v>
      </c>
      <c r="P18" s="61">
        <v>0.5</v>
      </c>
      <c r="Q18" s="61">
        <v>0.55000000000000004</v>
      </c>
      <c r="R18" s="61">
        <v>0.6</v>
      </c>
      <c r="S18" s="61">
        <v>0.65</v>
      </c>
      <c r="T18" s="61">
        <v>0.7</v>
      </c>
      <c r="U18" s="61">
        <v>0.75</v>
      </c>
      <c r="V18" s="61">
        <v>0.8</v>
      </c>
      <c r="W18" s="61">
        <v>0.85</v>
      </c>
      <c r="X18" s="61">
        <v>0.9</v>
      </c>
      <c r="Y18" s="61">
        <v>0.95</v>
      </c>
      <c r="Z18" s="61">
        <v>1</v>
      </c>
      <c r="AA18" s="61"/>
      <c r="AB18" s="63" t="e">
        <f>1-AB17/100</f>
        <v>#DIV/0!</v>
      </c>
    </row>
    <row r="19" spans="2:28" ht="12" customHeight="1" x14ac:dyDescent="0.3">
      <c r="B19" s="4"/>
      <c r="C19" s="5"/>
      <c r="D19" s="5"/>
      <c r="E19" s="61" t="s">
        <v>147</v>
      </c>
      <c r="F19" s="64">
        <v>1</v>
      </c>
      <c r="G19" s="64">
        <v>0.95</v>
      </c>
      <c r="H19" s="64">
        <v>0.9</v>
      </c>
      <c r="I19" s="64">
        <v>0.85</v>
      </c>
      <c r="J19" s="64">
        <v>0.8</v>
      </c>
      <c r="K19" s="64">
        <v>0.75</v>
      </c>
      <c r="L19" s="64">
        <v>0.7</v>
      </c>
      <c r="M19" s="64">
        <v>0.65</v>
      </c>
      <c r="N19" s="64">
        <v>0.6</v>
      </c>
      <c r="O19" s="64">
        <v>0.55000000000000004</v>
      </c>
      <c r="P19" s="64">
        <v>0.5</v>
      </c>
      <c r="Q19" s="64">
        <v>0.45</v>
      </c>
      <c r="R19" s="64">
        <v>0.39999999999999902</v>
      </c>
      <c r="S19" s="64">
        <v>0.34999999999999898</v>
      </c>
      <c r="T19" s="64">
        <v>0.29999999999999899</v>
      </c>
      <c r="U19" s="64">
        <v>0.249999999999999</v>
      </c>
      <c r="V19" s="64">
        <v>0.19999999999999901</v>
      </c>
      <c r="W19" s="64">
        <v>0.149999999999999</v>
      </c>
      <c r="X19" s="64">
        <v>9.9999999999999006E-2</v>
      </c>
      <c r="Y19" s="64">
        <v>4.9999999999998997E-2</v>
      </c>
      <c r="Z19" s="64">
        <v>-9.9920072216264108E-16</v>
      </c>
      <c r="AA19" s="61"/>
      <c r="AB19" s="63" t="e">
        <f>AB17/100</f>
        <v>#DIV/0!</v>
      </c>
    </row>
    <row r="20" spans="2:28" ht="12" customHeight="1" x14ac:dyDescent="0.3">
      <c r="B20" s="4"/>
      <c r="C20" s="5"/>
      <c r="D20" s="5"/>
      <c r="E20" s="61" t="s">
        <v>138</v>
      </c>
      <c r="F20" s="64">
        <f>('Stage 3'!$K$38)*'Graph Calculations'!F18</f>
        <v>0</v>
      </c>
      <c r="G20" s="64">
        <f>('Stage 3'!$K$38)*'Graph Calculations'!G18</f>
        <v>0</v>
      </c>
      <c r="H20" s="64">
        <f>('Stage 3'!$K$38)*'Graph Calculations'!H18</f>
        <v>0</v>
      </c>
      <c r="I20" s="64">
        <f>('Stage 3'!$K$38)*'Graph Calculations'!I18</f>
        <v>0</v>
      </c>
      <c r="J20" s="64">
        <f>('Stage 3'!$K$38)*'Graph Calculations'!J18</f>
        <v>0</v>
      </c>
      <c r="K20" s="64">
        <f>('Stage 3'!$K$38)*'Graph Calculations'!K18</f>
        <v>0</v>
      </c>
      <c r="L20" s="64">
        <f>('Stage 3'!$K$38)*'Graph Calculations'!L18</f>
        <v>0</v>
      </c>
      <c r="M20" s="64">
        <f>('Stage 3'!$K$38)*'Graph Calculations'!M18</f>
        <v>0</v>
      </c>
      <c r="N20" s="64">
        <f>('Stage 3'!$K$38)*'Graph Calculations'!N18</f>
        <v>0</v>
      </c>
      <c r="O20" s="64">
        <f>('Stage 3'!$K$38)*'Graph Calculations'!O18</f>
        <v>0</v>
      </c>
      <c r="P20" s="64">
        <f>('Stage 3'!$K$38)*'Graph Calculations'!P18</f>
        <v>0</v>
      </c>
      <c r="Q20" s="64">
        <f>('Stage 3'!$K$38)*'Graph Calculations'!Q18</f>
        <v>0</v>
      </c>
      <c r="R20" s="64">
        <f>('Stage 3'!$K$38)*'Graph Calculations'!R18</f>
        <v>0</v>
      </c>
      <c r="S20" s="64">
        <f>('Stage 3'!$K$38)*'Graph Calculations'!S18</f>
        <v>0</v>
      </c>
      <c r="T20" s="64">
        <f>('Stage 3'!$K$38)*'Graph Calculations'!T18</f>
        <v>0</v>
      </c>
      <c r="U20" s="64">
        <f>('Stage 3'!$K$38)*'Graph Calculations'!U18</f>
        <v>0</v>
      </c>
      <c r="V20" s="64">
        <f>('Stage 3'!$K$38)*'Graph Calculations'!V18</f>
        <v>0</v>
      </c>
      <c r="W20" s="64">
        <f>('Stage 3'!$K$38)*'Graph Calculations'!W18</f>
        <v>0</v>
      </c>
      <c r="X20" s="64">
        <f>('Stage 3'!$K$38)*'Graph Calculations'!X18</f>
        <v>0</v>
      </c>
      <c r="Y20" s="64">
        <f>('Stage 3'!$K$38)*'Graph Calculations'!Y18</f>
        <v>0</v>
      </c>
      <c r="Z20" s="64">
        <f>('Stage 3'!$K$38)*'Graph Calculations'!Z18</f>
        <v>0</v>
      </c>
      <c r="AA20" s="61"/>
      <c r="AB20" s="62" t="e">
        <f>('Stage 3'!$K$38)*'Graph Calculations'!AB18</f>
        <v>#DIV/0!</v>
      </c>
    </row>
    <row r="21" spans="2:28" ht="12" customHeight="1" x14ac:dyDescent="0.3">
      <c r="B21" s="4"/>
      <c r="C21" s="5"/>
      <c r="D21" s="5"/>
      <c r="E21" s="61" t="s">
        <v>148</v>
      </c>
      <c r="F21" s="64">
        <f>('Zero value Calc'!$K$16*'Data Tables'!$P$9)*F19</f>
        <v>0</v>
      </c>
      <c r="G21" s="64">
        <f>('Zero value Calc'!$K$16*'Data Tables'!$P$9)*G19</f>
        <v>0</v>
      </c>
      <c r="H21" s="64">
        <f>('Zero value Calc'!$K$16*'Data Tables'!$P$9)*H19</f>
        <v>0</v>
      </c>
      <c r="I21" s="64">
        <f>('Zero value Calc'!$K$16*'Data Tables'!$P$9)*I19</f>
        <v>0</v>
      </c>
      <c r="J21" s="64">
        <f>('Zero value Calc'!$K$16*'Data Tables'!$P$9)*J19</f>
        <v>0</v>
      </c>
      <c r="K21" s="64">
        <f>('Zero value Calc'!$K$16*'Data Tables'!$P$9)*K19</f>
        <v>0</v>
      </c>
      <c r="L21" s="64">
        <f>('Zero value Calc'!$K$16*'Data Tables'!$P$9)*L19</f>
        <v>0</v>
      </c>
      <c r="M21" s="64">
        <f>('Zero value Calc'!$K$16*'Data Tables'!$P$9)*M19</f>
        <v>0</v>
      </c>
      <c r="N21" s="64">
        <f>('Zero value Calc'!$K$16*'Data Tables'!$P$9)*N19</f>
        <v>0</v>
      </c>
      <c r="O21" s="64">
        <f>('Zero value Calc'!$K$16*'Data Tables'!$P$9)*O19</f>
        <v>0</v>
      </c>
      <c r="P21" s="64">
        <f>('Zero value Calc'!$K$16*'Data Tables'!$P$9)*P19</f>
        <v>0</v>
      </c>
      <c r="Q21" s="64">
        <f>('Zero value Calc'!$K$16*'Data Tables'!$P$9)*Q19</f>
        <v>0</v>
      </c>
      <c r="R21" s="64">
        <f>('Zero value Calc'!$K$16*'Data Tables'!$P$9)*R19</f>
        <v>0</v>
      </c>
      <c r="S21" s="64">
        <f>('Zero value Calc'!$K$16*'Data Tables'!$P$9)*S19</f>
        <v>0</v>
      </c>
      <c r="T21" s="64">
        <f>('Zero value Calc'!$K$16*'Data Tables'!$P$9)*T19</f>
        <v>0</v>
      </c>
      <c r="U21" s="64">
        <f>('Zero value Calc'!$K$16*'Data Tables'!$P$9)*U19</f>
        <v>0</v>
      </c>
      <c r="V21" s="64">
        <f>('Zero value Calc'!$K$16*'Data Tables'!$P$9)*V19</f>
        <v>0</v>
      </c>
      <c r="W21" s="64">
        <f>('Zero value Calc'!$K$16*'Data Tables'!$P$9)*W19</f>
        <v>0</v>
      </c>
      <c r="X21" s="64">
        <f>('Zero value Calc'!$K$16*'Data Tables'!$P$9)*X19</f>
        <v>0</v>
      </c>
      <c r="Y21" s="64">
        <f>('Zero value Calc'!$K$16*'Data Tables'!$P$9)*Y19</f>
        <v>0</v>
      </c>
      <c r="Z21" s="64">
        <f>('Zero value Calc'!$K$16*'Data Tables'!$P$9)*Z19</f>
        <v>0</v>
      </c>
      <c r="AA21" s="64"/>
      <c r="AB21" s="62" t="e">
        <f>('Zero value Calc'!$K$16*'Data Tables'!$O$9)*AB19</f>
        <v>#DIV/0!</v>
      </c>
    </row>
    <row r="22" spans="2:28" ht="12" customHeight="1" x14ac:dyDescent="0.3">
      <c r="B22" s="4"/>
      <c r="C22" s="5"/>
      <c r="D22" s="5"/>
      <c r="E22" s="61" t="s">
        <v>139</v>
      </c>
      <c r="F22" s="64">
        <f>SUM(F20:F21)</f>
        <v>0</v>
      </c>
      <c r="G22" s="64">
        <f t="shared" ref="G22:K22" si="4">SUM(G20:G21)</f>
        <v>0</v>
      </c>
      <c r="H22" s="64">
        <f t="shared" si="4"/>
        <v>0</v>
      </c>
      <c r="I22" s="64">
        <f t="shared" si="4"/>
        <v>0</v>
      </c>
      <c r="J22" s="64">
        <f t="shared" si="4"/>
        <v>0</v>
      </c>
      <c r="K22" s="64">
        <f t="shared" si="4"/>
        <v>0</v>
      </c>
      <c r="L22" s="64">
        <f>SUM(L20:L21)</f>
        <v>0</v>
      </c>
      <c r="M22" s="64">
        <f t="shared" ref="M22:Z22" si="5">SUM(M20:M21)</f>
        <v>0</v>
      </c>
      <c r="N22" s="64">
        <f t="shared" si="5"/>
        <v>0</v>
      </c>
      <c r="O22" s="64">
        <f t="shared" si="5"/>
        <v>0</v>
      </c>
      <c r="P22" s="64">
        <f t="shared" si="5"/>
        <v>0</v>
      </c>
      <c r="Q22" s="64">
        <f t="shared" si="5"/>
        <v>0</v>
      </c>
      <c r="R22" s="64">
        <f t="shared" si="5"/>
        <v>0</v>
      </c>
      <c r="S22" s="64">
        <f t="shared" si="5"/>
        <v>0</v>
      </c>
      <c r="T22" s="64">
        <f t="shared" si="5"/>
        <v>0</v>
      </c>
      <c r="U22" s="64">
        <f t="shared" si="5"/>
        <v>0</v>
      </c>
      <c r="V22" s="64">
        <f t="shared" si="5"/>
        <v>0</v>
      </c>
      <c r="W22" s="64">
        <f t="shared" si="5"/>
        <v>0</v>
      </c>
      <c r="X22" s="64">
        <f t="shared" si="5"/>
        <v>0</v>
      </c>
      <c r="Y22" s="64">
        <f t="shared" si="5"/>
        <v>0</v>
      </c>
      <c r="Z22" s="64">
        <f t="shared" si="5"/>
        <v>0</v>
      </c>
      <c r="AA22" s="64"/>
      <c r="AB22" s="62" t="e">
        <f>SUM(AB20:AB21)</f>
        <v>#DIV/0!</v>
      </c>
    </row>
    <row r="23" spans="2:28" ht="12" customHeight="1" x14ac:dyDescent="0.3">
      <c r="B23" s="4"/>
      <c r="C23" s="5"/>
      <c r="D23" s="5"/>
      <c r="E23" s="61" t="s">
        <v>140</v>
      </c>
      <c r="F23" s="64">
        <f>F22-'Zero value Calc'!$K$20</f>
        <v>0</v>
      </c>
      <c r="G23" s="64">
        <f>G22-'Zero value Calc'!$K$20</f>
        <v>0</v>
      </c>
      <c r="H23" s="64">
        <f>H22-'Zero value Calc'!$K$20</f>
        <v>0</v>
      </c>
      <c r="I23" s="64">
        <f>I22-'Zero value Calc'!$K$20</f>
        <v>0</v>
      </c>
      <c r="J23" s="64">
        <f>J22-'Zero value Calc'!$K$20</f>
        <v>0</v>
      </c>
      <c r="K23" s="64">
        <f>K22-'Zero value Calc'!$K$20</f>
        <v>0</v>
      </c>
      <c r="L23" s="64">
        <f>L22-'Zero value Calc'!$K$20</f>
        <v>0</v>
      </c>
      <c r="M23" s="64">
        <f>M22-'Zero value Calc'!$K$20</f>
        <v>0</v>
      </c>
      <c r="N23" s="64">
        <f>N22-'Zero value Calc'!$K$20</f>
        <v>0</v>
      </c>
      <c r="O23" s="64">
        <f>O22-'Zero value Calc'!$K$20</f>
        <v>0</v>
      </c>
      <c r="P23" s="64">
        <f>P22-'Zero value Calc'!$K$20</f>
        <v>0</v>
      </c>
      <c r="Q23" s="64">
        <f>Q22-'Zero value Calc'!$K$20</f>
        <v>0</v>
      </c>
      <c r="R23" s="64">
        <f>R22-'Zero value Calc'!$K$20</f>
        <v>0</v>
      </c>
      <c r="S23" s="64">
        <f>S22-'Zero value Calc'!$K$20</f>
        <v>0</v>
      </c>
      <c r="T23" s="64">
        <f>T22-'Zero value Calc'!$K$20</f>
        <v>0</v>
      </c>
      <c r="U23" s="64">
        <f>U22-'Zero value Calc'!$K$20</f>
        <v>0</v>
      </c>
      <c r="V23" s="64">
        <f>V22-'Zero value Calc'!$K$20</f>
        <v>0</v>
      </c>
      <c r="W23" s="64">
        <f>W22-'Zero value Calc'!$K$20</f>
        <v>0</v>
      </c>
      <c r="X23" s="64">
        <f>X22-'Zero value Calc'!$K$20</f>
        <v>0</v>
      </c>
      <c r="Y23" s="64">
        <f>Y22-'Zero value Calc'!$K$20</f>
        <v>0</v>
      </c>
      <c r="Z23" s="64">
        <f>Z22-'Zero value Calc'!$K$20</f>
        <v>0</v>
      </c>
      <c r="AA23" s="64"/>
      <c r="AB23" s="62" t="e">
        <f>AB22-'Zero value Calc'!$K$20</f>
        <v>#DIV/0!</v>
      </c>
    </row>
    <row r="24" spans="2:28" ht="12" customHeight="1" x14ac:dyDescent="0.3">
      <c r="B24" s="4"/>
      <c r="C24" s="5"/>
      <c r="D24" s="5"/>
      <c r="E24" s="61" t="s">
        <v>141</v>
      </c>
      <c r="F24" s="64" t="e">
        <f>('Zero value Calc'!$K$15/'Zero value Calc'!$K$16)*(F18*'Zero value Calc'!$K$16)</f>
        <v>#DIV/0!</v>
      </c>
      <c r="G24" s="64" t="e">
        <f>('Zero value Calc'!$K$15/'Zero value Calc'!$K$16)*(G18*'Zero value Calc'!$K$16)</f>
        <v>#DIV/0!</v>
      </c>
      <c r="H24" s="64" t="e">
        <f>('Zero value Calc'!$K$15/'Zero value Calc'!$K$16)*(H18*'Zero value Calc'!$K$16)</f>
        <v>#DIV/0!</v>
      </c>
      <c r="I24" s="64" t="e">
        <f>('Zero value Calc'!$K$15/'Zero value Calc'!$K$16)*(I18*'Zero value Calc'!$K$16)</f>
        <v>#DIV/0!</v>
      </c>
      <c r="J24" s="64" t="e">
        <f>('Zero value Calc'!$K$15/'Zero value Calc'!$K$16)*(J18*'Zero value Calc'!$K$16)</f>
        <v>#DIV/0!</v>
      </c>
      <c r="K24" s="64" t="e">
        <f>('Zero value Calc'!$K$15/'Zero value Calc'!$K$16)*(K18*'Zero value Calc'!$K$16)</f>
        <v>#DIV/0!</v>
      </c>
      <c r="L24" s="64" t="e">
        <f>('Zero value Calc'!$K$15/'Zero value Calc'!$K$16)*(L18*'Zero value Calc'!$K$16)</f>
        <v>#DIV/0!</v>
      </c>
      <c r="M24" s="64" t="e">
        <f>('Zero value Calc'!$K$15/'Zero value Calc'!$K$16)*(M18*'Zero value Calc'!$K$16)</f>
        <v>#DIV/0!</v>
      </c>
      <c r="N24" s="64" t="e">
        <f>('Zero value Calc'!$K$15/'Zero value Calc'!$K$16)*(N18*'Zero value Calc'!$K$16)</f>
        <v>#DIV/0!</v>
      </c>
      <c r="O24" s="64" t="e">
        <f>('Zero value Calc'!$K$15/'Zero value Calc'!$K$16)*(O18*'Zero value Calc'!$K$16)</f>
        <v>#DIV/0!</v>
      </c>
      <c r="P24" s="64" t="e">
        <f>('Zero value Calc'!$K$15/'Zero value Calc'!$K$16)*(P18*'Zero value Calc'!$K$16)</f>
        <v>#DIV/0!</v>
      </c>
      <c r="Q24" s="64" t="e">
        <f>('Zero value Calc'!$K$15/'Zero value Calc'!$K$16)*(Q18*'Zero value Calc'!$K$16)</f>
        <v>#DIV/0!</v>
      </c>
      <c r="R24" s="64" t="e">
        <f>('Zero value Calc'!$K$15/'Zero value Calc'!$K$16)*(R18*'Zero value Calc'!$K$16)</f>
        <v>#DIV/0!</v>
      </c>
      <c r="S24" s="64" t="e">
        <f>('Zero value Calc'!$K$15/'Zero value Calc'!$K$16)*(S18*'Zero value Calc'!$K$16)</f>
        <v>#DIV/0!</v>
      </c>
      <c r="T24" s="64" t="e">
        <f>('Zero value Calc'!$K$15/'Zero value Calc'!$K$16)*(T18*'Zero value Calc'!$K$16)</f>
        <v>#DIV/0!</v>
      </c>
      <c r="U24" s="64" t="e">
        <f>('Zero value Calc'!$K$15/'Zero value Calc'!$K$16)*(U18*'Zero value Calc'!$K$16)</f>
        <v>#DIV/0!</v>
      </c>
      <c r="V24" s="64" t="e">
        <f>('Zero value Calc'!$K$15/'Zero value Calc'!$K$16)*(V18*'Zero value Calc'!$K$16)</f>
        <v>#DIV/0!</v>
      </c>
      <c r="W24" s="64" t="e">
        <f>('Zero value Calc'!$K$15/'Zero value Calc'!$K$16)*(W18*'Zero value Calc'!$K$16)</f>
        <v>#DIV/0!</v>
      </c>
      <c r="X24" s="64" t="e">
        <f>('Zero value Calc'!$K$15/'Zero value Calc'!$K$16)*(X18*'Zero value Calc'!$K$16)</f>
        <v>#DIV/0!</v>
      </c>
      <c r="Y24" s="64" t="e">
        <f>('Zero value Calc'!$K$15/'Zero value Calc'!$K$16)*(Y18*'Zero value Calc'!$K$16)</f>
        <v>#DIV/0!</v>
      </c>
      <c r="Z24" s="64" t="e">
        <f>('Zero value Calc'!$K$15/'Zero value Calc'!$K$16)*(Z18*'Zero value Calc'!$K$16)</f>
        <v>#DIV/0!</v>
      </c>
      <c r="AA24" s="64"/>
      <c r="AB24" s="62" t="e">
        <f>('Zero value Calc'!$K$15/'Zero value Calc'!$K$16)*(AB18*'Zero value Calc'!$K$16)</f>
        <v>#DIV/0!</v>
      </c>
    </row>
    <row r="25" spans="2:28" ht="12" customHeight="1" x14ac:dyDescent="0.3">
      <c r="B25" s="4"/>
      <c r="C25" s="5"/>
      <c r="D25" s="5"/>
      <c r="E25" s="61" t="s">
        <v>49</v>
      </c>
      <c r="F25" s="64" t="e">
        <f>((((F24*(IF('Zero value Calc'!$G$11="House",'Stage 1'!$V$12,0)+IF('Zero value Calc'!$G$11="Hotel / quest house",'Stage 1'!$V$18,0))*'Stage 1'!$V$33)*'Stage 1'!$K$53)/1000000)*365.25)</f>
        <v>#DIV/0!</v>
      </c>
      <c r="G25" s="64" t="e">
        <f>((((G24*(IF('Zero value Calc'!$G$11="House",'Stage 1'!$V$12,0)+IF('Zero value Calc'!$G$11="Hotel / quest house",'Stage 1'!$V$18,0))*'Stage 1'!$V$33)*'Stage 1'!$K$53)/1000000)*365.25)</f>
        <v>#DIV/0!</v>
      </c>
      <c r="H25" s="64" t="e">
        <f>((((H24*(IF('Zero value Calc'!$G$11="House",'Stage 1'!$V$12,0)+IF('Zero value Calc'!$G$11="Hotel / quest house",'Stage 1'!$V$18,0))*'Stage 1'!$V$33)*'Stage 1'!$K$53)/1000000)*365.25)</f>
        <v>#DIV/0!</v>
      </c>
      <c r="I25" s="64" t="e">
        <f>((((I24*(IF('Zero value Calc'!$G$11="House",'Stage 1'!$V$12,0)+IF('Zero value Calc'!$G$11="Hotel / quest house",'Stage 1'!$V$18,0))*'Stage 1'!$V$33)*'Stage 1'!$K$53)/1000000)*365.25)</f>
        <v>#DIV/0!</v>
      </c>
      <c r="J25" s="64" t="e">
        <f>((((J24*(IF('Zero value Calc'!$G$11="House",'Stage 1'!$V$12,0)+IF('Zero value Calc'!$G$11="Hotel / quest house",'Stage 1'!$V$18,0))*'Stage 1'!$V$33)*'Stage 1'!$K$53)/1000000)*365.25)</f>
        <v>#DIV/0!</v>
      </c>
      <c r="K25" s="64" t="e">
        <f>((((K24*(IF('Zero value Calc'!$G$11="House",'Stage 1'!$V$12,0)+IF('Zero value Calc'!$G$11="Hotel / quest house",'Stage 1'!$V$18,0))*'Stage 1'!$V$33)*'Stage 1'!$K$53)/1000000)*365.25)</f>
        <v>#DIV/0!</v>
      </c>
      <c r="L25" s="64" t="e">
        <f>((((L24*(IF('Zero value Calc'!$G$11="House",'Stage 1'!$V$12,0)+IF('Zero value Calc'!$G$11="Hotel / quest house",'Stage 1'!$V$18,0))*'Stage 1'!$V$33)*'Stage 1'!$K$53)/1000000)*365.25)</f>
        <v>#DIV/0!</v>
      </c>
      <c r="M25" s="64" t="e">
        <f>((((M24*(IF('Zero value Calc'!$G$11="House",'Stage 1'!$V$12,0)+IF('Zero value Calc'!$G$11="Hotel / quest house",'Stage 1'!$V$18,0))*'Stage 1'!$V$33)*'Stage 1'!$K$53)/1000000)*365.25)</f>
        <v>#DIV/0!</v>
      </c>
      <c r="N25" s="64" t="e">
        <f>((((N24*(IF('Zero value Calc'!$G$11="House",'Stage 1'!$V$12,0)+IF('Zero value Calc'!$G$11="Hotel / quest house",'Stage 1'!$V$18,0))*'Stage 1'!$V$33)*'Stage 1'!$K$53)/1000000)*365.25)</f>
        <v>#DIV/0!</v>
      </c>
      <c r="O25" s="64" t="e">
        <f>((((O24*(IF('Zero value Calc'!$G$11="House",'Stage 1'!$V$12,0)+IF('Zero value Calc'!$G$11="Hotel / quest house",'Stage 1'!$V$18,0))*'Stage 1'!$V$33)*'Stage 1'!$K$53)/1000000)*365.25)</f>
        <v>#DIV/0!</v>
      </c>
      <c r="P25" s="64" t="e">
        <f>((((P24*(IF('Zero value Calc'!$G$11="House",'Stage 1'!$V$12,0)+IF('Zero value Calc'!$G$11="Hotel / quest house",'Stage 1'!$V$18,0))*'Stage 1'!$V$33)*'Stage 1'!$K$53)/1000000)*365.25)</f>
        <v>#DIV/0!</v>
      </c>
      <c r="Q25" s="64" t="e">
        <f>((((Q24*(IF('Zero value Calc'!$G$11="House",'Stage 1'!$V$12,0)+IF('Zero value Calc'!$G$11="Hotel / quest house",'Stage 1'!$V$18,0))*'Stage 1'!$V$33)*'Stage 1'!$K$53)/1000000)*365.25)</f>
        <v>#DIV/0!</v>
      </c>
      <c r="R25" s="64" t="e">
        <f>((((R24*(IF('Zero value Calc'!$G$11="House",'Stage 1'!$V$12,0)+IF('Zero value Calc'!$G$11="Hotel / quest house",'Stage 1'!$V$18,0))*'Stage 1'!$V$33)*'Stage 1'!$K$53)/1000000)*365.25)</f>
        <v>#DIV/0!</v>
      </c>
      <c r="S25" s="64" t="e">
        <f>((((S24*(IF('Zero value Calc'!$G$11="House",'Stage 1'!$V$12,0)+IF('Zero value Calc'!$G$11="Hotel / quest house",'Stage 1'!$V$18,0))*'Stage 1'!$V$33)*'Stage 1'!$K$53)/1000000)*365.25)</f>
        <v>#DIV/0!</v>
      </c>
      <c r="T25" s="64" t="e">
        <f>((((T24*(IF('Zero value Calc'!$G$11="House",'Stage 1'!$V$12,0)+IF('Zero value Calc'!$G$11="Hotel / quest house",'Stage 1'!$V$18,0))*'Stage 1'!$V$33)*'Stage 1'!$K$53)/1000000)*365.25)</f>
        <v>#DIV/0!</v>
      </c>
      <c r="U25" s="64" t="e">
        <f>((((U24*(IF('Zero value Calc'!$G$11="House",'Stage 1'!$V$12,0)+IF('Zero value Calc'!$G$11="Hotel / quest house",'Stage 1'!$V$18,0))*'Stage 1'!$V$33)*'Stage 1'!$K$53)/1000000)*365.25)</f>
        <v>#DIV/0!</v>
      </c>
      <c r="V25" s="64" t="e">
        <f>((((V24*(IF('Zero value Calc'!$G$11="House",'Stage 1'!$V$12,0)+IF('Zero value Calc'!$G$11="Hotel / quest house",'Stage 1'!$V$18,0))*'Stage 1'!$V$33)*'Stage 1'!$K$53)/1000000)*365.25)</f>
        <v>#DIV/0!</v>
      </c>
      <c r="W25" s="64" t="e">
        <f>((((W24*(IF('Zero value Calc'!$G$11="House",'Stage 1'!$V$12,0)+IF('Zero value Calc'!$G$11="Hotel / quest house",'Stage 1'!$V$18,0))*'Stage 1'!$V$33)*'Stage 1'!$K$53)/1000000)*365.25)</f>
        <v>#DIV/0!</v>
      </c>
      <c r="X25" s="64" t="e">
        <f>((((X24*(IF('Zero value Calc'!$G$11="House",'Stage 1'!$V$12,0)+IF('Zero value Calc'!$G$11="Hotel / quest house",'Stage 1'!$V$18,0))*'Stage 1'!$V$33)*'Stage 1'!$K$53)/1000000)*365.25)</f>
        <v>#DIV/0!</v>
      </c>
      <c r="Y25" s="64" t="e">
        <f>((((Y24*(IF('Zero value Calc'!$G$11="House",'Stage 1'!$V$12,0)+IF('Zero value Calc'!$G$11="Hotel / quest house",'Stage 1'!$V$18,0))*'Stage 1'!$V$33)*'Stage 1'!$K$53)/1000000)*365.25)</f>
        <v>#DIV/0!</v>
      </c>
      <c r="Z25" s="64" t="e">
        <f>((((Z24*(IF('Zero value Calc'!$G$11="House",'Stage 1'!$V$12,0)+IF('Zero value Calc'!$G$11="Hotel / quest house",'Stage 1'!$V$18,0))*'Stage 1'!$V$33)*'Stage 1'!$K$53)/1000000)*365.25)</f>
        <v>#DIV/0!</v>
      </c>
      <c r="AA25" s="64"/>
      <c r="AB25" s="65" t="e">
        <f>((((AB24*(IF('Zero value Calc'!$G$11="House",'Stage 1'!$V$12,0)+IF('Zero value Calc'!$G$11="Hotel / quest house",'Stage 1'!$V$18,0)))*'Stage 1'!$V$33)*'Stage 1'!$K$53)/1000000)*365.25</f>
        <v>#DIV/0!</v>
      </c>
    </row>
    <row r="26" spans="2:28" ht="12" customHeight="1" x14ac:dyDescent="0.3">
      <c r="B26" s="4"/>
      <c r="C26" s="5"/>
      <c r="D26" s="5"/>
      <c r="E26" s="61" t="s">
        <v>50</v>
      </c>
      <c r="F26" s="64" t="e">
        <f>F23+F25</f>
        <v>#DIV/0!</v>
      </c>
      <c r="G26" s="64" t="e">
        <f t="shared" ref="G26:Z26" si="6">G23+G25</f>
        <v>#DIV/0!</v>
      </c>
      <c r="H26" s="64" t="e">
        <f t="shared" si="6"/>
        <v>#DIV/0!</v>
      </c>
      <c r="I26" s="64" t="e">
        <f t="shared" si="6"/>
        <v>#DIV/0!</v>
      </c>
      <c r="J26" s="64" t="e">
        <f t="shared" si="6"/>
        <v>#DIV/0!</v>
      </c>
      <c r="K26" s="64" t="e">
        <f t="shared" si="6"/>
        <v>#DIV/0!</v>
      </c>
      <c r="L26" s="64" t="e">
        <f t="shared" si="6"/>
        <v>#DIV/0!</v>
      </c>
      <c r="M26" s="64" t="e">
        <f t="shared" si="6"/>
        <v>#DIV/0!</v>
      </c>
      <c r="N26" s="64" t="e">
        <f t="shared" si="6"/>
        <v>#DIV/0!</v>
      </c>
      <c r="O26" s="64" t="e">
        <f t="shared" si="6"/>
        <v>#DIV/0!</v>
      </c>
      <c r="P26" s="64" t="e">
        <f t="shared" si="6"/>
        <v>#DIV/0!</v>
      </c>
      <c r="Q26" s="64" t="e">
        <f t="shared" si="6"/>
        <v>#DIV/0!</v>
      </c>
      <c r="R26" s="64" t="e">
        <f t="shared" si="6"/>
        <v>#DIV/0!</v>
      </c>
      <c r="S26" s="64" t="e">
        <f t="shared" si="6"/>
        <v>#DIV/0!</v>
      </c>
      <c r="T26" s="64" t="e">
        <f t="shared" si="6"/>
        <v>#DIV/0!</v>
      </c>
      <c r="U26" s="64" t="e">
        <f t="shared" si="6"/>
        <v>#DIV/0!</v>
      </c>
      <c r="V26" s="64" t="e">
        <f t="shared" si="6"/>
        <v>#DIV/0!</v>
      </c>
      <c r="W26" s="64" t="e">
        <f t="shared" si="6"/>
        <v>#DIV/0!</v>
      </c>
      <c r="X26" s="64" t="e">
        <f t="shared" si="6"/>
        <v>#DIV/0!</v>
      </c>
      <c r="Y26" s="64" t="e">
        <f t="shared" si="6"/>
        <v>#DIV/0!</v>
      </c>
      <c r="Z26" s="64" t="e">
        <f t="shared" si="6"/>
        <v>#DIV/0!</v>
      </c>
      <c r="AA26" s="64"/>
      <c r="AB26" s="62" t="e">
        <f t="shared" ref="AB26" si="7">AB23+AB25</f>
        <v>#DIV/0!</v>
      </c>
    </row>
    <row r="27" spans="2:28" ht="11.55" customHeight="1" thickBot="1" x14ac:dyDescent="0.3">
      <c r="B27" s="7"/>
      <c r="C27" s="8"/>
      <c r="D27" s="8"/>
      <c r="E27" s="8"/>
      <c r="F27" s="8"/>
      <c r="G27" s="8"/>
      <c r="H27" s="8"/>
      <c r="I27" s="8"/>
      <c r="J27" s="8"/>
      <c r="K27" s="8"/>
      <c r="L27" s="8"/>
      <c r="M27" s="8"/>
      <c r="N27" s="8"/>
      <c r="O27" s="8"/>
      <c r="P27" s="8"/>
      <c r="Q27" s="8"/>
      <c r="R27" s="8"/>
      <c r="S27" s="8"/>
      <c r="T27" s="8"/>
      <c r="U27" s="8"/>
      <c r="V27" s="8"/>
      <c r="W27" s="8"/>
      <c r="X27" s="8"/>
      <c r="Y27" s="8"/>
      <c r="Z27" s="8"/>
      <c r="AA27" s="8"/>
      <c r="AB27" s="9"/>
    </row>
    <row r="29" spans="2:28" ht="6.6" customHeight="1" x14ac:dyDescent="0.25"/>
    <row r="34" spans="4:4" ht="6" customHeight="1" x14ac:dyDescent="0.25"/>
    <row r="35" spans="4:4" ht="16.05" customHeight="1" x14ac:dyDescent="0.25"/>
    <row r="36" spans="4:4" ht="15" customHeight="1" x14ac:dyDescent="0.25"/>
    <row r="37" spans="4:4" x14ac:dyDescent="0.25">
      <c r="D37" t="s">
        <v>28</v>
      </c>
    </row>
    <row r="38" spans="4:4" ht="12.6" customHeight="1" x14ac:dyDescent="0.25"/>
    <row r="39" spans="4:4" ht="23.55" customHeight="1" x14ac:dyDescent="0.25">
      <c r="D39" t="s">
        <v>67</v>
      </c>
    </row>
    <row r="40" spans="4:4" ht="1.5" customHeight="1" x14ac:dyDescent="0.25"/>
    <row r="41" spans="4:4" x14ac:dyDescent="0.25">
      <c r="D41" t="s">
        <v>68</v>
      </c>
    </row>
    <row r="43" spans="4:4" ht="6.6" customHeight="1" x14ac:dyDescent="0.25"/>
    <row r="47" spans="4:4" ht="12.6" customHeight="1" x14ac:dyDescent="0.25"/>
    <row r="48" spans="4:4" ht="35.549999999999997" customHeight="1" x14ac:dyDescent="0.25"/>
    <row r="49" spans="4:12" ht="13.05" customHeight="1" x14ac:dyDescent="0.25"/>
    <row r="50" spans="4:12" ht="13.05" customHeight="1" x14ac:dyDescent="0.25"/>
    <row r="51" spans="4:12" ht="35.549999999999997" customHeight="1" x14ac:dyDescent="0.25"/>
    <row r="52" spans="4:12" ht="6" customHeight="1" thickBot="1" x14ac:dyDescent="0.3">
      <c r="D52" s="36"/>
    </row>
    <row r="54" spans="4:12" x14ac:dyDescent="0.25">
      <c r="L54" s="13"/>
    </row>
    <row r="55" spans="4:12" x14ac:dyDescent="0.25">
      <c r="E55" s="16"/>
      <c r="F55" s="16"/>
      <c r="I55" s="16"/>
    </row>
    <row r="58" spans="4:12" x14ac:dyDescent="0.25">
      <c r="I58" s="13"/>
    </row>
    <row r="59" spans="4:12" x14ac:dyDescent="0.25">
      <c r="I59" s="13"/>
    </row>
    <row r="60" spans="4:12" x14ac:dyDescent="0.25">
      <c r="I60" s="13"/>
    </row>
    <row r="61" spans="4:12" x14ac:dyDescent="0.25">
      <c r="E61" s="14"/>
      <c r="I61" s="13"/>
    </row>
    <row r="62" spans="4:12" x14ac:dyDescent="0.25">
      <c r="I62" s="13"/>
    </row>
    <row r="67" spans="10:11" x14ac:dyDescent="0.25">
      <c r="J67" s="16"/>
      <c r="K67" s="16"/>
    </row>
  </sheetData>
  <sheetProtection formatCells="0" formatColumns="0" formatRows="0" insertColumns="0" insertRows="0" insertHyperlinks="0" selectLockedCells="1" sort="0" autoFilter="0" pivotTables="0"/>
  <dataConsolidate/>
  <pageMargins left="0.70866141732283472" right="0.70866141732283472" top="0.74803149606299213" bottom="0.74803149606299213" header="0.31496062992125984" footer="0.31496062992125984"/>
  <pageSetup paperSize="9" scale="76" orientation="landscape" horizontalDpi="360" verticalDpi="360" r:id="rId1"/>
  <headerFooter>
    <oddHeader>&amp;LPhosphate Budget Calculator&amp;CStage 4</oddHeader>
    <oddFooter>&amp;LVersion 2.2&amp;R&amp;D</oddFooter>
  </headerFooter>
  <customProperties>
    <customPr name="SSC_SHEET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F8EAF-343D-4DA7-8687-7144E17E3D7D}">
  <sheetPr>
    <tabColor theme="9" tint="0.79998168889431442"/>
  </sheetPr>
  <dimension ref="A1:R3"/>
  <sheetViews>
    <sheetView topLeftCell="A6" zoomScaleNormal="100" workbookViewId="0">
      <selection activeCell="A2" sqref="A2:R3"/>
    </sheetView>
  </sheetViews>
  <sheetFormatPr defaultRowHeight="13.2" x14ac:dyDescent="0.25"/>
  <sheetData>
    <row r="1" spans="1:18" ht="13.8" x14ac:dyDescent="0.3">
      <c r="A1" s="40" t="s">
        <v>585</v>
      </c>
    </row>
    <row r="2" spans="1:18" x14ac:dyDescent="0.25">
      <c r="A2" s="463" t="s">
        <v>587</v>
      </c>
      <c r="B2" s="463"/>
      <c r="C2" s="463"/>
      <c r="D2" s="463"/>
      <c r="E2" s="463"/>
      <c r="F2" s="463"/>
      <c r="G2" s="463"/>
      <c r="H2" s="463"/>
      <c r="I2" s="463"/>
      <c r="J2" s="463"/>
      <c r="K2" s="463"/>
      <c r="L2" s="463"/>
      <c r="M2" s="463"/>
      <c r="N2" s="463"/>
      <c r="O2" s="463"/>
      <c r="P2" s="463"/>
      <c r="Q2" s="463"/>
      <c r="R2" s="463"/>
    </row>
    <row r="3" spans="1:18" ht="37.5" customHeight="1" x14ac:dyDescent="0.25">
      <c r="A3" s="463"/>
      <c r="B3" s="463"/>
      <c r="C3" s="463"/>
      <c r="D3" s="463"/>
      <c r="E3" s="463"/>
      <c r="F3" s="463"/>
      <c r="G3" s="463"/>
      <c r="H3" s="463"/>
      <c r="I3" s="463"/>
      <c r="J3" s="463"/>
      <c r="K3" s="463"/>
      <c r="L3" s="463"/>
      <c r="M3" s="463"/>
      <c r="N3" s="463"/>
      <c r="O3" s="463"/>
      <c r="P3" s="463"/>
      <c r="Q3" s="463"/>
      <c r="R3" s="463"/>
    </row>
  </sheetData>
  <sheetProtection algorithmName="SHA-512" hashValue="SRV5xmZSs/bMHpzhNU5j8H8SpCwimxjPjF3KsRbJORr3/+I0zXNZ+4r0JicCIQUgdSeXo0zG3IqRdfidJfx3IQ==" saltValue="wsae/1ukfaXiop+3B2pjmw==" spinCount="100000" sheet="1" objects="1" scenarios="1" selectLockedCells="1"/>
  <mergeCells count="1">
    <mergeCell ref="A2:R3"/>
  </mergeCells>
  <pageMargins left="0.7" right="0.7" top="0.75" bottom="0.75" header="0.3" footer="0.3"/>
  <customProperties>
    <customPr name="SSC_SHEET_GUID"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AD86-A958-4CDE-8DE8-EDCBC1121D46}">
  <dimension ref="B2:BG924"/>
  <sheetViews>
    <sheetView topLeftCell="A51" zoomScale="85" zoomScaleNormal="85" workbookViewId="0">
      <selection activeCell="M61" sqref="M61"/>
    </sheetView>
  </sheetViews>
  <sheetFormatPr defaultRowHeight="13.2" x14ac:dyDescent="0.25"/>
  <cols>
    <col min="2" max="2" width="35.5546875" customWidth="1"/>
    <col min="3" max="3" width="10.77734375" customWidth="1"/>
    <col min="4" max="5" width="14" customWidth="1"/>
    <col min="6" max="8" width="12.44140625" customWidth="1"/>
    <col min="9" max="9" width="14" customWidth="1"/>
    <col min="10" max="11" width="12.5546875" customWidth="1"/>
    <col min="12" max="12" width="6.77734375" customWidth="1"/>
    <col min="13" max="13" width="5.5546875" customWidth="1"/>
    <col min="14" max="14" width="11.77734375" customWidth="1"/>
    <col min="15" max="15" width="12.44140625" customWidth="1"/>
    <col min="16" max="16" width="15.5546875" customWidth="1"/>
    <col min="17" max="17" width="5.5546875" customWidth="1"/>
    <col min="18" max="18" width="16.21875" customWidth="1"/>
    <col min="19" max="19" width="6.77734375" customWidth="1"/>
    <col min="20" max="20" width="7.21875" customWidth="1"/>
    <col min="21" max="21" width="9.77734375" customWidth="1"/>
    <col min="22" max="22" width="8.77734375" customWidth="1"/>
    <col min="23" max="24" width="7.77734375" customWidth="1"/>
    <col min="25" max="25" width="8" customWidth="1"/>
    <col min="26" max="26" width="9.44140625" customWidth="1"/>
    <col min="27" max="27" width="7.77734375" customWidth="1"/>
    <col min="28" max="28" width="9.5546875" customWidth="1"/>
    <col min="29" max="29" width="7.5546875" customWidth="1"/>
    <col min="30" max="30" width="7.44140625" customWidth="1"/>
    <col min="31" max="31" width="6.21875" customWidth="1"/>
    <col min="32" max="32" width="6.77734375" customWidth="1"/>
    <col min="33" max="33" width="7.5546875" customWidth="1"/>
    <col min="34" max="34" width="6.5546875" customWidth="1"/>
    <col min="35" max="35" width="7.5546875" customWidth="1"/>
    <col min="36" max="36" width="8.21875" customWidth="1"/>
    <col min="42" max="42" width="7.5546875" customWidth="1"/>
  </cols>
  <sheetData>
    <row r="2" spans="2:59" ht="55.05" customHeight="1" thickBot="1" x14ac:dyDescent="0.35">
      <c r="B2" s="76" t="s">
        <v>525</v>
      </c>
      <c r="C2" s="77" t="s">
        <v>558</v>
      </c>
      <c r="D2" s="78" t="s">
        <v>557</v>
      </c>
      <c r="E2" s="78" t="s">
        <v>556</v>
      </c>
      <c r="F2" s="78" t="s">
        <v>62</v>
      </c>
      <c r="G2" s="78" t="s">
        <v>554</v>
      </c>
      <c r="H2" s="78" t="s">
        <v>553</v>
      </c>
      <c r="I2" s="78" t="s">
        <v>551</v>
      </c>
      <c r="J2" s="133" t="s">
        <v>552</v>
      </c>
      <c r="K2" s="133" t="s">
        <v>555</v>
      </c>
      <c r="L2" s="40"/>
      <c r="M2" s="40"/>
      <c r="N2" s="75" t="s">
        <v>46</v>
      </c>
      <c r="O2" s="79" t="s">
        <v>45</v>
      </c>
      <c r="P2" s="79" t="s">
        <v>387</v>
      </c>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row>
    <row r="3" spans="2:59" ht="15" customHeight="1" thickBot="1" x14ac:dyDescent="0.35">
      <c r="B3" s="80" t="s">
        <v>266</v>
      </c>
      <c r="C3" s="81" t="s">
        <v>13</v>
      </c>
      <c r="D3" s="82">
        <v>1.57</v>
      </c>
      <c r="E3" s="83">
        <f>25</f>
        <v>25</v>
      </c>
      <c r="F3" s="84" t="s">
        <v>13</v>
      </c>
      <c r="G3" s="85">
        <v>1.57</v>
      </c>
      <c r="H3" s="83">
        <v>25</v>
      </c>
      <c r="I3" s="84" t="s">
        <v>13</v>
      </c>
      <c r="J3" s="134">
        <v>1.57</v>
      </c>
      <c r="K3" s="134">
        <v>25</v>
      </c>
      <c r="L3" s="40"/>
      <c r="M3" s="40"/>
      <c r="N3" s="86" t="s">
        <v>21</v>
      </c>
      <c r="O3" s="87">
        <v>0.45</v>
      </c>
      <c r="P3" s="42">
        <v>25.03</v>
      </c>
      <c r="Q3" s="88"/>
      <c r="R3" s="75" t="s">
        <v>378</v>
      </c>
      <c r="S3" s="467" t="s">
        <v>382</v>
      </c>
      <c r="T3" s="468"/>
      <c r="U3" s="468"/>
      <c r="V3" s="468"/>
      <c r="W3" s="468"/>
      <c r="X3" s="469"/>
      <c r="Y3" s="467" t="s">
        <v>383</v>
      </c>
      <c r="Z3" s="468"/>
      <c r="AA3" s="468"/>
      <c r="AB3" s="468"/>
      <c r="AC3" s="468"/>
      <c r="AD3" s="469"/>
      <c r="AE3" s="467" t="s">
        <v>384</v>
      </c>
      <c r="AF3" s="468"/>
      <c r="AG3" s="468"/>
      <c r="AH3" s="468"/>
      <c r="AI3" s="468"/>
      <c r="AJ3" s="469"/>
      <c r="AK3" s="40"/>
      <c r="AL3" s="75" t="s">
        <v>378</v>
      </c>
      <c r="AM3" s="464" t="s">
        <v>382</v>
      </c>
      <c r="AN3" s="465"/>
      <c r="AO3" s="465"/>
      <c r="AP3" s="465"/>
      <c r="AQ3" s="465"/>
      <c r="AR3" s="466"/>
      <c r="AS3" s="464" t="s">
        <v>383</v>
      </c>
      <c r="AT3" s="465"/>
      <c r="AU3" s="465"/>
      <c r="AV3" s="465"/>
      <c r="AW3" s="465"/>
      <c r="AX3" s="466"/>
      <c r="AY3" s="464" t="s">
        <v>384</v>
      </c>
      <c r="AZ3" s="465"/>
      <c r="BA3" s="465"/>
      <c r="BB3" s="465"/>
      <c r="BC3" s="465"/>
      <c r="BD3" s="466"/>
      <c r="BE3" s="74"/>
      <c r="BF3" s="74"/>
      <c r="BG3" s="74"/>
    </row>
    <row r="4" spans="2:59" ht="41.55" customHeight="1" thickBot="1" x14ac:dyDescent="0.35">
      <c r="B4" s="89" t="s">
        <v>267</v>
      </c>
      <c r="C4" s="81" t="s">
        <v>61</v>
      </c>
      <c r="D4" s="82">
        <f>IF(Table1[[#This Row],[2022 Value known?]]="No",6,0)</f>
        <v>6</v>
      </c>
      <c r="E4" s="83">
        <f>25</f>
        <v>25</v>
      </c>
      <c r="F4" s="84" t="s">
        <v>61</v>
      </c>
      <c r="G4" s="85">
        <f>IF(Table1[[#This Row],[2025 Value known?]]="No",6,0)</f>
        <v>6</v>
      </c>
      <c r="H4" s="83">
        <v>25</v>
      </c>
      <c r="I4" s="84" t="s">
        <v>61</v>
      </c>
      <c r="J4" s="135">
        <v>6</v>
      </c>
      <c r="K4" s="134">
        <v>25</v>
      </c>
      <c r="L4" s="40"/>
      <c r="M4" s="40"/>
      <c r="N4" s="86" t="s">
        <v>394</v>
      </c>
      <c r="O4" s="87">
        <v>0.02</v>
      </c>
      <c r="P4" s="42">
        <v>3</v>
      </c>
      <c r="Q4" s="88"/>
      <c r="R4" s="178" t="s">
        <v>74</v>
      </c>
      <c r="S4" s="481" t="s">
        <v>75</v>
      </c>
      <c r="T4" s="482"/>
      <c r="U4" s="474" t="s">
        <v>248</v>
      </c>
      <c r="V4" s="474"/>
      <c r="W4" s="474" t="s">
        <v>249</v>
      </c>
      <c r="X4" s="475"/>
      <c r="Y4" s="476" t="s">
        <v>75</v>
      </c>
      <c r="Z4" s="474"/>
      <c r="AA4" s="474" t="s">
        <v>248</v>
      </c>
      <c r="AB4" s="474"/>
      <c r="AC4" s="474" t="s">
        <v>249</v>
      </c>
      <c r="AD4" s="475"/>
      <c r="AE4" s="477" t="s">
        <v>75</v>
      </c>
      <c r="AF4" s="474"/>
      <c r="AG4" s="474" t="s">
        <v>248</v>
      </c>
      <c r="AH4" s="474"/>
      <c r="AI4" s="474" t="s">
        <v>249</v>
      </c>
      <c r="AJ4" s="475"/>
      <c r="AK4" s="40"/>
      <c r="AL4" s="160" t="s">
        <v>74</v>
      </c>
      <c r="AM4" s="483" t="s">
        <v>75</v>
      </c>
      <c r="AN4" s="484"/>
      <c r="AO4" s="472" t="s">
        <v>248</v>
      </c>
      <c r="AP4" s="471"/>
      <c r="AQ4" s="472" t="s">
        <v>249</v>
      </c>
      <c r="AR4" s="473"/>
      <c r="AS4" s="470" t="s">
        <v>75</v>
      </c>
      <c r="AT4" s="471"/>
      <c r="AU4" s="472" t="s">
        <v>248</v>
      </c>
      <c r="AV4" s="471"/>
      <c r="AW4" s="472" t="s">
        <v>249</v>
      </c>
      <c r="AX4" s="473"/>
      <c r="AY4" s="470" t="s">
        <v>75</v>
      </c>
      <c r="AZ4" s="471"/>
      <c r="BA4" s="472" t="s">
        <v>248</v>
      </c>
      <c r="BB4" s="471"/>
      <c r="BC4" s="472" t="s">
        <v>249</v>
      </c>
      <c r="BD4" s="473"/>
      <c r="BE4" s="73"/>
      <c r="BF4" s="73"/>
      <c r="BG4" s="73"/>
    </row>
    <row r="5" spans="2:59" ht="15" customHeight="1" x14ac:dyDescent="0.3">
      <c r="B5" s="89" t="s">
        <v>268</v>
      </c>
      <c r="C5" s="81" t="s">
        <v>61</v>
      </c>
      <c r="D5" s="82">
        <f>IF(Table1[[#This Row],[2022 Value known?]]="No",6,0)</f>
        <v>6</v>
      </c>
      <c r="E5" s="83">
        <f>25</f>
        <v>25</v>
      </c>
      <c r="F5" s="84" t="s">
        <v>61</v>
      </c>
      <c r="G5" s="85">
        <f>IF(Table1[[#This Row],[2025 Value known?]]="No",6,0)</f>
        <v>6</v>
      </c>
      <c r="H5" s="83">
        <v>25</v>
      </c>
      <c r="I5" s="84" t="s">
        <v>61</v>
      </c>
      <c r="J5" s="135">
        <v>6</v>
      </c>
      <c r="K5" s="134">
        <v>25</v>
      </c>
      <c r="L5" s="40"/>
      <c r="M5" s="40"/>
      <c r="N5" s="86" t="s">
        <v>34</v>
      </c>
      <c r="O5" s="87">
        <v>0.02</v>
      </c>
      <c r="P5" s="42">
        <v>3</v>
      </c>
      <c r="Q5" s="88"/>
      <c r="R5" s="179" t="s">
        <v>23</v>
      </c>
      <c r="S5" s="177">
        <v>0.14000000000000001</v>
      </c>
      <c r="T5" s="158">
        <v>0.14000000000000001</v>
      </c>
      <c r="U5" s="158">
        <v>0.19</v>
      </c>
      <c r="V5" s="158">
        <v>0.19</v>
      </c>
      <c r="W5" s="158">
        <v>0.5</v>
      </c>
      <c r="X5" s="159">
        <v>0.51</v>
      </c>
      <c r="Y5" s="177">
        <v>0.14000000000000001</v>
      </c>
      <c r="Z5" s="158">
        <v>0.14000000000000001</v>
      </c>
      <c r="AA5" s="158">
        <v>0.19</v>
      </c>
      <c r="AB5" s="158">
        <v>0.19</v>
      </c>
      <c r="AC5" s="158">
        <v>0.5</v>
      </c>
      <c r="AD5" s="159">
        <v>0.51</v>
      </c>
      <c r="AE5" s="174">
        <v>1.31</v>
      </c>
      <c r="AF5" s="158">
        <v>0.98</v>
      </c>
      <c r="AG5" s="158">
        <v>0.41</v>
      </c>
      <c r="AH5" s="158">
        <v>0.41</v>
      </c>
      <c r="AI5" s="158">
        <v>0.83</v>
      </c>
      <c r="AJ5" s="159">
        <v>0.84</v>
      </c>
      <c r="AK5" s="40"/>
      <c r="AL5" s="163" t="s">
        <v>23</v>
      </c>
      <c r="AM5" s="167">
        <v>35.869999999999997</v>
      </c>
      <c r="AN5" s="167">
        <v>35.869999999999997</v>
      </c>
      <c r="AO5" s="167">
        <v>12.05</v>
      </c>
      <c r="AP5" s="167">
        <v>12.15</v>
      </c>
      <c r="AQ5" s="167">
        <v>11.17</v>
      </c>
      <c r="AR5" s="167">
        <v>11.3</v>
      </c>
      <c r="AS5" s="167">
        <v>35.869999999999997</v>
      </c>
      <c r="AT5" s="167">
        <v>35.869999999999997</v>
      </c>
      <c r="AU5" s="167">
        <v>12.05</v>
      </c>
      <c r="AV5" s="167">
        <v>12.15</v>
      </c>
      <c r="AW5" s="167">
        <v>11.17</v>
      </c>
      <c r="AX5" s="167">
        <v>11.3</v>
      </c>
      <c r="AY5" s="167">
        <v>22.54</v>
      </c>
      <c r="AZ5" s="167">
        <v>18.100000000000001</v>
      </c>
      <c r="BA5" s="167">
        <v>17.170000000000002</v>
      </c>
      <c r="BB5" s="167">
        <v>17.32</v>
      </c>
      <c r="BC5" s="167">
        <v>12.96</v>
      </c>
      <c r="BD5" s="168">
        <v>13.11</v>
      </c>
      <c r="BE5" s="13"/>
      <c r="BF5" s="13"/>
      <c r="BG5" s="13"/>
    </row>
    <row r="6" spans="2:59" ht="15" customHeight="1" x14ac:dyDescent="0.3">
      <c r="B6" s="89" t="s">
        <v>269</v>
      </c>
      <c r="C6" s="81" t="s">
        <v>13</v>
      </c>
      <c r="D6" s="139">
        <f>1*0.9</f>
        <v>0.9</v>
      </c>
      <c r="E6" s="83">
        <f>25</f>
        <v>25</v>
      </c>
      <c r="F6" s="84" t="s">
        <v>13</v>
      </c>
      <c r="G6" s="141">
        <f>0.6*0.9</f>
        <v>0.54</v>
      </c>
      <c r="H6" s="83">
        <v>25</v>
      </c>
      <c r="I6" s="84" t="s">
        <v>13</v>
      </c>
      <c r="J6" s="135">
        <f t="shared" ref="J6:J29" si="0">0.25*0.9</f>
        <v>0.22500000000000001</v>
      </c>
      <c r="K6" s="134">
        <f t="shared" ref="K6:K58" si="1">10*0.9</f>
        <v>9</v>
      </c>
      <c r="L6" s="40"/>
      <c r="M6" s="40"/>
      <c r="N6" s="86" t="s">
        <v>231</v>
      </c>
      <c r="O6" s="87">
        <v>0.02</v>
      </c>
      <c r="P6" s="42">
        <v>3</v>
      </c>
      <c r="Q6" s="88"/>
      <c r="R6" s="180" t="s">
        <v>246</v>
      </c>
      <c r="S6" s="173">
        <v>0.06</v>
      </c>
      <c r="T6" s="152">
        <v>0.06</v>
      </c>
      <c r="U6" s="152">
        <v>0.11</v>
      </c>
      <c r="V6" s="152">
        <v>0.11</v>
      </c>
      <c r="W6" s="152">
        <v>0.43</v>
      </c>
      <c r="X6" s="154">
        <v>0.5</v>
      </c>
      <c r="Y6" s="173">
        <v>0.06</v>
      </c>
      <c r="Z6" s="152">
        <v>0.06</v>
      </c>
      <c r="AA6" s="152">
        <v>0.11</v>
      </c>
      <c r="AB6" s="152">
        <v>0.11</v>
      </c>
      <c r="AC6" s="152">
        <v>0.43</v>
      </c>
      <c r="AD6" s="154">
        <v>0.5</v>
      </c>
      <c r="AE6" s="175">
        <v>0.11</v>
      </c>
      <c r="AF6" s="152">
        <v>0.16</v>
      </c>
      <c r="AG6" s="152">
        <v>0.22</v>
      </c>
      <c r="AH6" s="152">
        <v>0.22</v>
      </c>
      <c r="AI6" s="152">
        <v>0.68</v>
      </c>
      <c r="AJ6" s="154">
        <v>0.68</v>
      </c>
      <c r="AK6" s="40"/>
      <c r="AL6" s="153" t="s">
        <v>246</v>
      </c>
      <c r="AM6" s="166">
        <v>12.94</v>
      </c>
      <c r="AN6" s="166">
        <v>13.02</v>
      </c>
      <c r="AO6" s="166">
        <v>8.8699999999999992</v>
      </c>
      <c r="AP6" s="166">
        <v>8.93</v>
      </c>
      <c r="AQ6" s="166">
        <v>7.97</v>
      </c>
      <c r="AR6" s="166">
        <v>9.68</v>
      </c>
      <c r="AS6" s="166">
        <v>12.94</v>
      </c>
      <c r="AT6" s="166">
        <v>13.02</v>
      </c>
      <c r="AU6" s="166">
        <v>8.8699999999999992</v>
      </c>
      <c r="AV6" s="166">
        <v>8.93</v>
      </c>
      <c r="AW6" s="166">
        <v>7.97</v>
      </c>
      <c r="AX6" s="166">
        <v>9.68</v>
      </c>
      <c r="AY6" s="166">
        <v>17.55</v>
      </c>
      <c r="AZ6" s="166">
        <v>22.39</v>
      </c>
      <c r="BA6" s="166">
        <v>13.66</v>
      </c>
      <c r="BB6" s="166">
        <v>13.75</v>
      </c>
      <c r="BC6" s="166">
        <v>9.6199999999999992</v>
      </c>
      <c r="BD6" s="169">
        <v>9.65</v>
      </c>
      <c r="BE6" s="13"/>
      <c r="BF6" s="13"/>
      <c r="BG6" s="13"/>
    </row>
    <row r="7" spans="2:59" ht="15" customHeight="1" x14ac:dyDescent="0.3">
      <c r="B7" s="89" t="s">
        <v>270</v>
      </c>
      <c r="C7" s="81" t="s">
        <v>61</v>
      </c>
      <c r="D7" s="82">
        <f>IF(Table1[[#This Row],[2022 Value known?]]="No",6,0)</f>
        <v>6</v>
      </c>
      <c r="E7" s="83">
        <f>25</f>
        <v>25</v>
      </c>
      <c r="F7" s="84" t="s">
        <v>61</v>
      </c>
      <c r="G7" s="85">
        <f>IF(Table1[[#This Row],[2025 Value known?]]="No",6,0)</f>
        <v>6</v>
      </c>
      <c r="H7" s="83">
        <v>25</v>
      </c>
      <c r="I7" s="84" t="s">
        <v>61</v>
      </c>
      <c r="J7" s="135">
        <v>6</v>
      </c>
      <c r="K7" s="134">
        <v>25</v>
      </c>
      <c r="L7" s="40"/>
      <c r="M7" s="40"/>
      <c r="N7" s="86" t="s">
        <v>393</v>
      </c>
      <c r="O7" s="87">
        <v>0</v>
      </c>
      <c r="P7" s="42">
        <v>0</v>
      </c>
      <c r="Q7" s="40"/>
      <c r="R7" s="180" t="s">
        <v>130</v>
      </c>
      <c r="S7" s="173">
        <v>0.06</v>
      </c>
      <c r="T7" s="152">
        <v>0.06</v>
      </c>
      <c r="U7" s="152">
        <v>0.28000000000000003</v>
      </c>
      <c r="V7" s="152">
        <v>0.28999999999999998</v>
      </c>
      <c r="W7" s="152">
        <v>0.55000000000000004</v>
      </c>
      <c r="X7" s="154">
        <v>0.6</v>
      </c>
      <c r="Y7" s="173">
        <v>0.06</v>
      </c>
      <c r="Z7" s="152">
        <v>0.06</v>
      </c>
      <c r="AA7" s="152">
        <v>0.28000000000000003</v>
      </c>
      <c r="AB7" s="152">
        <v>0.28999999999999998</v>
      </c>
      <c r="AC7" s="152">
        <v>0.55000000000000004</v>
      </c>
      <c r="AD7" s="154">
        <v>0.6</v>
      </c>
      <c r="AE7" s="175">
        <v>0.14000000000000001</v>
      </c>
      <c r="AF7" s="152">
        <v>0.18</v>
      </c>
      <c r="AG7" s="152">
        <v>0.6</v>
      </c>
      <c r="AH7" s="152">
        <v>0.6</v>
      </c>
      <c r="AI7" s="152">
        <v>0.94</v>
      </c>
      <c r="AJ7" s="154">
        <v>0.95</v>
      </c>
      <c r="AK7" s="40"/>
      <c r="AL7" s="153" t="s">
        <v>130</v>
      </c>
      <c r="AM7" s="166">
        <v>27.33</v>
      </c>
      <c r="AN7" s="166">
        <v>27.39</v>
      </c>
      <c r="AO7" s="166">
        <v>18.760000000000002</v>
      </c>
      <c r="AP7" s="166">
        <v>18.96</v>
      </c>
      <c r="AQ7" s="166">
        <v>18.829999999999998</v>
      </c>
      <c r="AR7" s="166">
        <v>21.55</v>
      </c>
      <c r="AS7" s="166">
        <v>27.33</v>
      </c>
      <c r="AT7" s="166">
        <v>27.39</v>
      </c>
      <c r="AU7" s="166">
        <v>18.760000000000002</v>
      </c>
      <c r="AV7" s="166">
        <v>18.96</v>
      </c>
      <c r="AW7" s="166">
        <v>18.829999999999998</v>
      </c>
      <c r="AX7" s="166">
        <v>21.55</v>
      </c>
      <c r="AY7" s="166">
        <v>33.11</v>
      </c>
      <c r="AZ7" s="166">
        <v>38.380000000000003</v>
      </c>
      <c r="BA7" s="166">
        <v>24.06</v>
      </c>
      <c r="BB7" s="166">
        <v>24.32</v>
      </c>
      <c r="BC7" s="166">
        <v>20.64</v>
      </c>
      <c r="BD7" s="169">
        <v>20.98</v>
      </c>
      <c r="BE7" s="13"/>
      <c r="BF7" s="13"/>
      <c r="BG7" s="13"/>
    </row>
    <row r="8" spans="2:59" ht="15" customHeight="1" x14ac:dyDescent="0.3">
      <c r="B8" s="90" t="s">
        <v>271</v>
      </c>
      <c r="C8" s="81" t="s">
        <v>61</v>
      </c>
      <c r="D8" s="82">
        <f>IF(Table1[[#This Row],[2022 Value known?]]="No",6,0)</f>
        <v>6</v>
      </c>
      <c r="E8" s="83">
        <f>25</f>
        <v>25</v>
      </c>
      <c r="F8" s="84" t="s">
        <v>61</v>
      </c>
      <c r="G8" s="85">
        <f>IF(Table1[[#This Row],[2025 Value known?]]="No",6,0)</f>
        <v>6</v>
      </c>
      <c r="H8" s="83">
        <v>25</v>
      </c>
      <c r="I8" s="84" t="s">
        <v>61</v>
      </c>
      <c r="J8" s="135">
        <v>6</v>
      </c>
      <c r="K8" s="134">
        <v>25</v>
      </c>
      <c r="L8" s="40"/>
      <c r="M8" s="40"/>
      <c r="N8" s="86" t="s">
        <v>32</v>
      </c>
      <c r="O8" s="87">
        <v>-8</v>
      </c>
      <c r="P8" s="42">
        <v>-930</v>
      </c>
      <c r="Q8" s="40"/>
      <c r="R8" s="180" t="s">
        <v>247</v>
      </c>
      <c r="S8" s="173">
        <v>0.17</v>
      </c>
      <c r="T8" s="152">
        <v>0.12</v>
      </c>
      <c r="U8" s="152">
        <v>0.35</v>
      </c>
      <c r="V8" s="152">
        <v>0.38</v>
      </c>
      <c r="W8" s="152">
        <v>0.71</v>
      </c>
      <c r="X8" s="154">
        <v>0.68</v>
      </c>
      <c r="Y8" s="173">
        <v>0.17</v>
      </c>
      <c r="Z8" s="152">
        <v>0.12</v>
      </c>
      <c r="AA8" s="152">
        <v>0.35</v>
      </c>
      <c r="AB8" s="152">
        <v>0.38</v>
      </c>
      <c r="AC8" s="152">
        <v>0.71</v>
      </c>
      <c r="AD8" s="154">
        <v>0.68</v>
      </c>
      <c r="AE8" s="175">
        <v>0.26</v>
      </c>
      <c r="AF8" s="152">
        <v>0.37</v>
      </c>
      <c r="AG8" s="152">
        <v>0.7</v>
      </c>
      <c r="AH8" s="152">
        <v>0.74</v>
      </c>
      <c r="AI8" s="152">
        <v>1.08</v>
      </c>
      <c r="AJ8" s="154">
        <v>1.1399999999999999</v>
      </c>
      <c r="AK8" s="40"/>
      <c r="AL8" s="153" t="s">
        <v>247</v>
      </c>
      <c r="AM8" s="166">
        <v>244.3</v>
      </c>
      <c r="AN8" s="166">
        <v>231.58</v>
      </c>
      <c r="AO8" s="166">
        <v>144.04</v>
      </c>
      <c r="AP8" s="166">
        <v>149.96</v>
      </c>
      <c r="AQ8" s="166">
        <v>138.11000000000001</v>
      </c>
      <c r="AR8" s="166">
        <v>140.47</v>
      </c>
      <c r="AS8" s="166">
        <v>244.3</v>
      </c>
      <c r="AT8" s="166">
        <v>231.58</v>
      </c>
      <c r="AU8" s="166">
        <v>144.04</v>
      </c>
      <c r="AV8" s="166">
        <v>149.96</v>
      </c>
      <c r="AW8" s="166">
        <v>138.11000000000001</v>
      </c>
      <c r="AX8" s="166">
        <v>140.47</v>
      </c>
      <c r="AY8" s="166">
        <v>273.57</v>
      </c>
      <c r="AZ8" s="166">
        <v>287.23</v>
      </c>
      <c r="BA8" s="166">
        <v>177.92</v>
      </c>
      <c r="BB8" s="166">
        <v>185.52</v>
      </c>
      <c r="BC8" s="166">
        <v>141.38999999999999</v>
      </c>
      <c r="BD8" s="169">
        <v>152.82</v>
      </c>
      <c r="BE8" s="13"/>
      <c r="BF8" s="13"/>
      <c r="BG8" s="13"/>
    </row>
    <row r="9" spans="2:59" ht="15" customHeight="1" x14ac:dyDescent="0.3">
      <c r="B9" s="90" t="s">
        <v>272</v>
      </c>
      <c r="C9" s="81" t="s">
        <v>61</v>
      </c>
      <c r="D9" s="82">
        <f>IF(Table1[[#This Row],[2022 Value known?]]="No",6,0)</f>
        <v>6</v>
      </c>
      <c r="E9" s="83">
        <f>25</f>
        <v>25</v>
      </c>
      <c r="F9" s="84" t="s">
        <v>61</v>
      </c>
      <c r="G9" s="85">
        <f>IF(Table1[[#This Row],[2025 Value known?]]="No",6,0)</f>
        <v>6</v>
      </c>
      <c r="H9" s="83">
        <v>25</v>
      </c>
      <c r="I9" s="84" t="s">
        <v>61</v>
      </c>
      <c r="J9" s="135">
        <v>6</v>
      </c>
      <c r="K9" s="134">
        <v>25</v>
      </c>
      <c r="L9" s="40"/>
      <c r="M9" s="40"/>
      <c r="N9" s="86" t="s">
        <v>149</v>
      </c>
      <c r="O9" s="97">
        <v>0.02</v>
      </c>
      <c r="P9" s="42">
        <v>3</v>
      </c>
      <c r="Q9" s="40"/>
      <c r="R9" s="180" t="s">
        <v>381</v>
      </c>
      <c r="S9" s="173">
        <v>7.0000000000000007E-2</v>
      </c>
      <c r="T9" s="152">
        <v>7.0000000000000007E-2</v>
      </c>
      <c r="U9" s="152">
        <v>0.35</v>
      </c>
      <c r="V9" s="152">
        <v>0.38</v>
      </c>
      <c r="W9" s="152">
        <v>0.57999999999999996</v>
      </c>
      <c r="X9" s="154">
        <v>0.68</v>
      </c>
      <c r="Y9" s="173">
        <v>7.0000000000000007E-2</v>
      </c>
      <c r="Z9" s="152">
        <v>7.0000000000000007E-2</v>
      </c>
      <c r="AA9" s="152">
        <v>0.35</v>
      </c>
      <c r="AB9" s="152">
        <v>0.38</v>
      </c>
      <c r="AC9" s="152">
        <v>0.57999999999999996</v>
      </c>
      <c r="AD9" s="154">
        <v>0.68</v>
      </c>
      <c r="AE9" s="175">
        <v>0.17</v>
      </c>
      <c r="AF9" s="152">
        <v>0.23</v>
      </c>
      <c r="AG9" s="152">
        <v>0.72</v>
      </c>
      <c r="AH9" s="152">
        <v>0.76</v>
      </c>
      <c r="AI9" s="152">
        <v>1</v>
      </c>
      <c r="AJ9" s="154">
        <v>1.05</v>
      </c>
      <c r="AK9" s="40"/>
      <c r="AL9" s="153" t="s">
        <v>381</v>
      </c>
      <c r="AM9" s="166">
        <v>93.57</v>
      </c>
      <c r="AN9" s="166">
        <v>93.25</v>
      </c>
      <c r="AO9" s="166">
        <v>59.54</v>
      </c>
      <c r="AP9" s="166">
        <v>61.69</v>
      </c>
      <c r="AQ9" s="166">
        <v>56.34</v>
      </c>
      <c r="AR9" s="166">
        <v>79.38</v>
      </c>
      <c r="AS9" s="166">
        <v>93.57</v>
      </c>
      <c r="AT9" s="166">
        <v>93.25</v>
      </c>
      <c r="AU9" s="166">
        <v>59.54</v>
      </c>
      <c r="AV9" s="166">
        <v>61.69</v>
      </c>
      <c r="AW9" s="166">
        <v>56.34</v>
      </c>
      <c r="AX9" s="166">
        <v>79.38</v>
      </c>
      <c r="AY9" s="166">
        <v>109.91</v>
      </c>
      <c r="AZ9" s="166">
        <v>147.9</v>
      </c>
      <c r="BA9" s="166">
        <v>73.2</v>
      </c>
      <c r="BB9" s="166">
        <v>75.97</v>
      </c>
      <c r="BC9" s="166">
        <v>60.56</v>
      </c>
      <c r="BD9" s="169">
        <v>64.790000000000006</v>
      </c>
      <c r="BE9" s="13"/>
      <c r="BF9" s="13"/>
      <c r="BG9" s="13"/>
    </row>
    <row r="10" spans="2:59" ht="15" customHeight="1" x14ac:dyDescent="0.3">
      <c r="B10" s="89" t="s">
        <v>273</v>
      </c>
      <c r="C10" s="81" t="s">
        <v>13</v>
      </c>
      <c r="D10" s="91">
        <v>1.05</v>
      </c>
      <c r="E10" s="83">
        <f>25</f>
        <v>25</v>
      </c>
      <c r="F10" s="84" t="s">
        <v>13</v>
      </c>
      <c r="G10" s="85">
        <v>1.05</v>
      </c>
      <c r="H10" s="83">
        <v>25</v>
      </c>
      <c r="I10" s="84" t="s">
        <v>13</v>
      </c>
      <c r="J10" s="135">
        <f t="shared" si="0"/>
        <v>0.22500000000000001</v>
      </c>
      <c r="K10" s="134">
        <f t="shared" si="1"/>
        <v>9</v>
      </c>
      <c r="L10" s="40"/>
      <c r="M10" s="40"/>
      <c r="N10" s="132"/>
      <c r="O10" s="125"/>
      <c r="P10" s="88"/>
      <c r="Q10" s="40"/>
      <c r="R10" s="180" t="s">
        <v>22</v>
      </c>
      <c r="S10" s="173">
        <v>0.05</v>
      </c>
      <c r="T10" s="152">
        <v>0.05</v>
      </c>
      <c r="U10" s="152">
        <v>0.33</v>
      </c>
      <c r="V10" s="152">
        <v>0.33</v>
      </c>
      <c r="W10" s="152">
        <v>0.52</v>
      </c>
      <c r="X10" s="154">
        <v>0.53</v>
      </c>
      <c r="Y10" s="173">
        <v>0.05</v>
      </c>
      <c r="Z10" s="152">
        <v>0.05</v>
      </c>
      <c r="AA10" s="152">
        <v>0.33</v>
      </c>
      <c r="AB10" s="152">
        <v>0.33</v>
      </c>
      <c r="AC10" s="152">
        <v>0.52</v>
      </c>
      <c r="AD10" s="154">
        <v>0.53</v>
      </c>
      <c r="AE10" s="175">
        <v>0.14000000000000001</v>
      </c>
      <c r="AF10" s="152">
        <v>0.15</v>
      </c>
      <c r="AG10" s="152">
        <v>0.66</v>
      </c>
      <c r="AH10" s="152">
        <v>0.7</v>
      </c>
      <c r="AI10" s="152">
        <v>0.92</v>
      </c>
      <c r="AJ10" s="154">
        <v>0.97</v>
      </c>
      <c r="AK10" s="40"/>
      <c r="AL10" s="153" t="s">
        <v>22</v>
      </c>
      <c r="AM10" s="166">
        <v>22.09</v>
      </c>
      <c r="AN10" s="166">
        <v>22.39</v>
      </c>
      <c r="AO10" s="166">
        <v>15.49</v>
      </c>
      <c r="AP10" s="166">
        <v>15.52</v>
      </c>
      <c r="AQ10" s="166">
        <v>15.97</v>
      </c>
      <c r="AR10" s="166">
        <v>16</v>
      </c>
      <c r="AS10" s="166">
        <v>22.09</v>
      </c>
      <c r="AT10" s="166">
        <v>22.39</v>
      </c>
      <c r="AU10" s="166">
        <v>15.49</v>
      </c>
      <c r="AV10" s="166">
        <v>15.52</v>
      </c>
      <c r="AW10" s="166">
        <v>15.97</v>
      </c>
      <c r="AX10" s="166">
        <v>16</v>
      </c>
      <c r="AY10" s="166">
        <v>26.42</v>
      </c>
      <c r="AZ10" s="166">
        <v>26.19</v>
      </c>
      <c r="BA10" s="166">
        <v>19.079999999999998</v>
      </c>
      <c r="BB10" s="166">
        <v>19.09</v>
      </c>
      <c r="BC10" s="166">
        <v>17.12</v>
      </c>
      <c r="BD10" s="169">
        <v>17.02</v>
      </c>
      <c r="BE10" s="13"/>
      <c r="BF10" s="13"/>
      <c r="BG10" s="13"/>
    </row>
    <row r="11" spans="2:59" ht="15" customHeight="1" x14ac:dyDescent="0.3">
      <c r="B11" s="89" t="s">
        <v>274</v>
      </c>
      <c r="C11" s="81" t="s">
        <v>61</v>
      </c>
      <c r="D11" s="91">
        <f>IF(Table1[[#This Row],[2022 Value known?]]="No",6,0)</f>
        <v>6</v>
      </c>
      <c r="E11" s="83">
        <f>25</f>
        <v>25</v>
      </c>
      <c r="F11" s="84" t="s">
        <v>61</v>
      </c>
      <c r="G11" s="85">
        <f>IF(Table1[[#This Row],[2025 Value known?]]="No",6,0)</f>
        <v>6</v>
      </c>
      <c r="H11" s="83">
        <v>25</v>
      </c>
      <c r="I11" s="84" t="s">
        <v>61</v>
      </c>
      <c r="J11" s="135">
        <v>6</v>
      </c>
      <c r="K11" s="134">
        <v>25</v>
      </c>
      <c r="L11" s="40"/>
      <c r="M11" s="40"/>
      <c r="N11" s="40"/>
      <c r="O11" s="94"/>
      <c r="P11" s="88"/>
      <c r="Q11" s="40"/>
      <c r="R11" s="180" t="s">
        <v>380</v>
      </c>
      <c r="S11" s="173">
        <v>0.05</v>
      </c>
      <c r="T11" s="152">
        <v>0.05</v>
      </c>
      <c r="U11" s="152">
        <v>0.34</v>
      </c>
      <c r="V11" s="152">
        <v>0.34</v>
      </c>
      <c r="W11" s="152">
        <v>0.56000000000000005</v>
      </c>
      <c r="X11" s="154">
        <v>0.56000000000000005</v>
      </c>
      <c r="Y11" s="173">
        <v>0.05</v>
      </c>
      <c r="Z11" s="152">
        <v>0.05</v>
      </c>
      <c r="AA11" s="152">
        <v>0.34</v>
      </c>
      <c r="AB11" s="152">
        <v>0.34</v>
      </c>
      <c r="AC11" s="152">
        <v>0.56000000000000005</v>
      </c>
      <c r="AD11" s="154">
        <v>0.56000000000000005</v>
      </c>
      <c r="AE11" s="175">
        <v>0.15</v>
      </c>
      <c r="AF11" s="152">
        <v>0.15</v>
      </c>
      <c r="AG11" s="152">
        <v>0.73</v>
      </c>
      <c r="AH11" s="152">
        <v>0.73</v>
      </c>
      <c r="AI11" s="152">
        <v>0.98</v>
      </c>
      <c r="AJ11" s="154">
        <v>0.98</v>
      </c>
      <c r="AK11" s="40"/>
      <c r="AL11" s="153" t="s">
        <v>380</v>
      </c>
      <c r="AM11" s="166">
        <v>26.47</v>
      </c>
      <c r="AN11" s="166">
        <v>26.54</v>
      </c>
      <c r="AO11" s="166">
        <v>19.11</v>
      </c>
      <c r="AP11" s="166">
        <v>19.16</v>
      </c>
      <c r="AQ11" s="166">
        <v>20.2</v>
      </c>
      <c r="AR11" s="166">
        <v>20.25</v>
      </c>
      <c r="AS11" s="166">
        <v>26.47</v>
      </c>
      <c r="AT11" s="166">
        <v>26.54</v>
      </c>
      <c r="AU11" s="166">
        <v>19.11</v>
      </c>
      <c r="AV11" s="166">
        <v>19.16</v>
      </c>
      <c r="AW11" s="166">
        <v>20.2</v>
      </c>
      <c r="AX11" s="166">
        <v>20.25</v>
      </c>
      <c r="AY11" s="166">
        <v>31.52</v>
      </c>
      <c r="AZ11" s="166">
        <v>31.61</v>
      </c>
      <c r="BA11" s="166">
        <v>23.75</v>
      </c>
      <c r="BB11" s="166">
        <v>23.82</v>
      </c>
      <c r="BC11" s="166">
        <v>21.97</v>
      </c>
      <c r="BD11" s="169">
        <v>22.03</v>
      </c>
      <c r="BE11" s="13"/>
      <c r="BF11" s="13"/>
      <c r="BG11" s="13"/>
    </row>
    <row r="12" spans="2:59" ht="15" customHeight="1" x14ac:dyDescent="0.3">
      <c r="B12" s="90" t="s">
        <v>275</v>
      </c>
      <c r="C12" s="81" t="s">
        <v>61</v>
      </c>
      <c r="D12" s="91">
        <f>IF(Table1[[#This Row],[2022 Value known?]]="No",6,0)</f>
        <v>6</v>
      </c>
      <c r="E12" s="83">
        <f>25</f>
        <v>25</v>
      </c>
      <c r="F12" s="93" t="s">
        <v>61</v>
      </c>
      <c r="G12" s="85">
        <f>IF(Table1[[#This Row],[2025 Value known?]]="No",6,0)</f>
        <v>6</v>
      </c>
      <c r="H12" s="83">
        <v>25</v>
      </c>
      <c r="I12" s="84" t="s">
        <v>61</v>
      </c>
      <c r="J12" s="135">
        <v>6</v>
      </c>
      <c r="K12" s="134">
        <v>25</v>
      </c>
      <c r="L12" s="40"/>
      <c r="M12" s="40"/>
      <c r="N12" s="40"/>
      <c r="O12" s="94"/>
      <c r="P12" s="88"/>
      <c r="Q12" s="40"/>
      <c r="R12" s="180" t="s">
        <v>90</v>
      </c>
      <c r="S12" s="173">
        <v>0.05</v>
      </c>
      <c r="T12" s="152">
        <v>0.05</v>
      </c>
      <c r="U12" s="152">
        <v>0.31</v>
      </c>
      <c r="V12" s="152">
        <v>0.31</v>
      </c>
      <c r="W12" s="152">
        <v>0.53</v>
      </c>
      <c r="X12" s="154">
        <v>0.5</v>
      </c>
      <c r="Y12" s="173">
        <v>0.05</v>
      </c>
      <c r="Z12" s="152">
        <v>0.05</v>
      </c>
      <c r="AA12" s="152">
        <v>0.31</v>
      </c>
      <c r="AB12" s="152">
        <v>0.31</v>
      </c>
      <c r="AC12" s="152">
        <v>0.53</v>
      </c>
      <c r="AD12" s="154">
        <v>0.5</v>
      </c>
      <c r="AE12" s="175">
        <v>0.13</v>
      </c>
      <c r="AF12" s="152">
        <v>0.13</v>
      </c>
      <c r="AG12" s="152">
        <v>0.64</v>
      </c>
      <c r="AH12" s="152">
        <v>0.64</v>
      </c>
      <c r="AI12" s="152">
        <v>0.9</v>
      </c>
      <c r="AJ12" s="154">
        <v>0.9</v>
      </c>
      <c r="AK12" s="40"/>
      <c r="AL12" s="153" t="s">
        <v>90</v>
      </c>
      <c r="AM12" s="166">
        <v>25.28</v>
      </c>
      <c r="AN12" s="166">
        <v>25.35</v>
      </c>
      <c r="AO12" s="166">
        <v>17.62</v>
      </c>
      <c r="AP12" s="166">
        <v>17.670000000000002</v>
      </c>
      <c r="AQ12" s="166">
        <v>18.23</v>
      </c>
      <c r="AR12" s="166">
        <v>19.170000000000002</v>
      </c>
      <c r="AS12" s="166">
        <v>25.28</v>
      </c>
      <c r="AT12" s="166">
        <v>25.35</v>
      </c>
      <c r="AU12" s="166">
        <v>17.62</v>
      </c>
      <c r="AV12" s="166">
        <v>17.670000000000002</v>
      </c>
      <c r="AW12" s="166">
        <v>18.23</v>
      </c>
      <c r="AX12" s="166">
        <v>19.170000000000002</v>
      </c>
      <c r="AY12" s="166">
        <v>29.97</v>
      </c>
      <c r="AZ12" s="166">
        <v>30.05</v>
      </c>
      <c r="BA12" s="166">
        <v>21.72</v>
      </c>
      <c r="BB12" s="166">
        <v>21.77</v>
      </c>
      <c r="BC12" s="166">
        <v>19.48</v>
      </c>
      <c r="BD12" s="169">
        <v>19.52</v>
      </c>
      <c r="BE12" s="13"/>
      <c r="BF12" s="13"/>
      <c r="BG12" s="13"/>
    </row>
    <row r="13" spans="2:59" ht="15" customHeight="1" thickBot="1" x14ac:dyDescent="0.35">
      <c r="B13" s="90" t="s">
        <v>276</v>
      </c>
      <c r="C13" s="81" t="s">
        <v>61</v>
      </c>
      <c r="D13" s="91">
        <f>IF(Table1[[#This Row],[2022 Value known?]]="No",6,0)</f>
        <v>6</v>
      </c>
      <c r="E13" s="83">
        <f>25</f>
        <v>25</v>
      </c>
      <c r="F13" s="93" t="s">
        <v>61</v>
      </c>
      <c r="G13" s="85">
        <f>IF(Table1[[#This Row],[2025 Value known?]]="No",6,0)</f>
        <v>6</v>
      </c>
      <c r="H13" s="83">
        <v>25</v>
      </c>
      <c r="I13" s="84" t="s">
        <v>61</v>
      </c>
      <c r="J13" s="135">
        <v>6</v>
      </c>
      <c r="K13" s="134">
        <v>25</v>
      </c>
      <c r="L13" s="40"/>
      <c r="M13" s="40"/>
      <c r="N13" s="40"/>
      <c r="O13" s="94"/>
      <c r="P13" s="88"/>
      <c r="Q13" s="40"/>
      <c r="R13" s="181" t="s">
        <v>569</v>
      </c>
      <c r="S13" s="155">
        <v>0.05</v>
      </c>
      <c r="T13" s="156">
        <v>0.05</v>
      </c>
      <c r="U13" s="156">
        <v>0.05</v>
      </c>
      <c r="V13" s="156">
        <v>0.05</v>
      </c>
      <c r="W13" s="156">
        <v>0.05</v>
      </c>
      <c r="X13" s="157">
        <v>0.05</v>
      </c>
      <c r="Y13" s="155">
        <v>0.05</v>
      </c>
      <c r="Z13" s="156">
        <v>0.05</v>
      </c>
      <c r="AA13" s="156">
        <v>0.05</v>
      </c>
      <c r="AB13" s="156">
        <v>0.05</v>
      </c>
      <c r="AC13" s="156">
        <v>0.05</v>
      </c>
      <c r="AD13" s="157">
        <v>0.05</v>
      </c>
      <c r="AE13" s="176">
        <v>0.13</v>
      </c>
      <c r="AF13" s="156">
        <v>0.13</v>
      </c>
      <c r="AG13" s="156">
        <v>0.13</v>
      </c>
      <c r="AH13" s="156">
        <v>0.13</v>
      </c>
      <c r="AI13" s="156">
        <v>0.13</v>
      </c>
      <c r="AJ13" s="157">
        <v>0.13</v>
      </c>
      <c r="AK13" s="40"/>
      <c r="AL13" s="155" t="s">
        <v>569</v>
      </c>
      <c r="AM13" s="156">
        <v>25.35</v>
      </c>
      <c r="AN13" s="156">
        <v>25.35</v>
      </c>
      <c r="AO13" s="156">
        <v>25.35</v>
      </c>
      <c r="AP13" s="156">
        <v>25.35</v>
      </c>
      <c r="AQ13" s="156">
        <v>25.35</v>
      </c>
      <c r="AR13" s="156">
        <v>25.35</v>
      </c>
      <c r="AS13" s="156">
        <v>25.35</v>
      </c>
      <c r="AT13" s="156">
        <v>25.35</v>
      </c>
      <c r="AU13" s="156">
        <v>25.35</v>
      </c>
      <c r="AV13" s="156">
        <v>25.35</v>
      </c>
      <c r="AW13" s="156">
        <v>25.35</v>
      </c>
      <c r="AX13" s="156">
        <v>25.35</v>
      </c>
      <c r="AY13" s="170">
        <v>30.05</v>
      </c>
      <c r="AZ13" s="170">
        <v>30.05</v>
      </c>
      <c r="BA13" s="170">
        <v>30.05</v>
      </c>
      <c r="BB13" s="170">
        <v>30.05</v>
      </c>
      <c r="BC13" s="170">
        <v>30.05</v>
      </c>
      <c r="BD13" s="171">
        <v>30.05</v>
      </c>
    </row>
    <row r="14" spans="2:59" ht="15" customHeight="1" thickBot="1" x14ac:dyDescent="0.35">
      <c r="B14" s="90" t="s">
        <v>277</v>
      </c>
      <c r="C14" s="95" t="s">
        <v>13</v>
      </c>
      <c r="D14" s="91">
        <v>0.69</v>
      </c>
      <c r="E14" s="83">
        <f>25</f>
        <v>25</v>
      </c>
      <c r="F14" s="96" t="s">
        <v>13</v>
      </c>
      <c r="G14" s="85">
        <v>0.69</v>
      </c>
      <c r="H14" s="83">
        <v>25</v>
      </c>
      <c r="I14" s="84" t="s">
        <v>13</v>
      </c>
      <c r="J14" s="135">
        <f t="shared" si="0"/>
        <v>0.22500000000000001</v>
      </c>
      <c r="K14" s="134">
        <f t="shared" si="1"/>
        <v>9</v>
      </c>
      <c r="L14" s="40"/>
      <c r="M14" s="40"/>
      <c r="N14" s="40"/>
      <c r="O14" s="94"/>
      <c r="P14" s="40"/>
      <c r="Q14" s="40"/>
      <c r="R14" s="75" t="s">
        <v>385</v>
      </c>
      <c r="S14" s="478" t="s">
        <v>382</v>
      </c>
      <c r="T14" s="479"/>
      <c r="U14" s="479"/>
      <c r="V14" s="479"/>
      <c r="W14" s="479"/>
      <c r="X14" s="480"/>
      <c r="Y14" s="478" t="s">
        <v>383</v>
      </c>
      <c r="Z14" s="479"/>
      <c r="AA14" s="479"/>
      <c r="AB14" s="479"/>
      <c r="AC14" s="479"/>
      <c r="AD14" s="480"/>
      <c r="AE14" s="478" t="s">
        <v>384</v>
      </c>
      <c r="AF14" s="479"/>
      <c r="AG14" s="479"/>
      <c r="AH14" s="479"/>
      <c r="AI14" s="479"/>
      <c r="AJ14" s="480"/>
      <c r="AK14" s="40"/>
      <c r="AL14" s="75" t="s">
        <v>385</v>
      </c>
      <c r="AM14" s="478" t="s">
        <v>382</v>
      </c>
      <c r="AN14" s="479"/>
      <c r="AO14" s="479"/>
      <c r="AP14" s="479"/>
      <c r="AQ14" s="479"/>
      <c r="AR14" s="480"/>
      <c r="AS14" s="478" t="s">
        <v>383</v>
      </c>
      <c r="AT14" s="479"/>
      <c r="AU14" s="479"/>
      <c r="AV14" s="479"/>
      <c r="AW14" s="479"/>
      <c r="AX14" s="480"/>
      <c r="AY14" s="478" t="s">
        <v>384</v>
      </c>
      <c r="AZ14" s="479"/>
      <c r="BA14" s="479"/>
      <c r="BB14" s="479"/>
      <c r="BC14" s="479"/>
      <c r="BD14" s="480"/>
    </row>
    <row r="15" spans="2:59" ht="15" customHeight="1" thickBot="1" x14ac:dyDescent="0.35">
      <c r="B15" s="90" t="s">
        <v>278</v>
      </c>
      <c r="C15" s="95" t="s">
        <v>61</v>
      </c>
      <c r="D15" s="91">
        <f>IF(Table1[[#This Row],[2022 Value known?]]="No",6,0)</f>
        <v>6</v>
      </c>
      <c r="E15" s="83">
        <f>25</f>
        <v>25</v>
      </c>
      <c r="F15" s="96" t="s">
        <v>61</v>
      </c>
      <c r="G15" s="85">
        <f>IF(Table1[[#This Row],[2025 Value known?]]="No",6,0)</f>
        <v>6</v>
      </c>
      <c r="H15" s="83">
        <v>25</v>
      </c>
      <c r="I15" s="84" t="s">
        <v>61</v>
      </c>
      <c r="J15" s="135">
        <f t="shared" si="0"/>
        <v>0.22500000000000001</v>
      </c>
      <c r="K15" s="134">
        <f t="shared" si="1"/>
        <v>9</v>
      </c>
      <c r="L15" s="40"/>
      <c r="M15" s="40"/>
      <c r="N15" s="40"/>
      <c r="O15" s="94"/>
      <c r="P15" s="40"/>
      <c r="Q15" s="40"/>
      <c r="R15" s="182" t="s">
        <v>74</v>
      </c>
      <c r="S15" s="161" t="s">
        <v>75</v>
      </c>
      <c r="T15" s="162"/>
      <c r="U15" s="472" t="s">
        <v>248</v>
      </c>
      <c r="V15" s="471"/>
      <c r="W15" s="472" t="s">
        <v>249</v>
      </c>
      <c r="X15" s="473"/>
      <c r="Y15" s="470" t="s">
        <v>75</v>
      </c>
      <c r="Z15" s="471"/>
      <c r="AA15" s="472" t="s">
        <v>248</v>
      </c>
      <c r="AB15" s="471"/>
      <c r="AC15" s="472" t="s">
        <v>249</v>
      </c>
      <c r="AD15" s="473"/>
      <c r="AE15" s="470" t="s">
        <v>75</v>
      </c>
      <c r="AF15" s="471"/>
      <c r="AG15" s="472" t="s">
        <v>248</v>
      </c>
      <c r="AH15" s="471"/>
      <c r="AI15" s="472" t="s">
        <v>249</v>
      </c>
      <c r="AJ15" s="473"/>
      <c r="AK15" s="40"/>
      <c r="AL15" s="160" t="s">
        <v>74</v>
      </c>
      <c r="AM15" s="483" t="s">
        <v>75</v>
      </c>
      <c r="AN15" s="484"/>
      <c r="AO15" s="472" t="s">
        <v>248</v>
      </c>
      <c r="AP15" s="471"/>
      <c r="AQ15" s="472" t="s">
        <v>249</v>
      </c>
      <c r="AR15" s="473"/>
      <c r="AS15" s="470" t="s">
        <v>75</v>
      </c>
      <c r="AT15" s="471"/>
      <c r="AU15" s="472" t="s">
        <v>248</v>
      </c>
      <c r="AV15" s="471"/>
      <c r="AW15" s="472" t="s">
        <v>249</v>
      </c>
      <c r="AX15" s="473"/>
      <c r="AY15" s="470" t="s">
        <v>75</v>
      </c>
      <c r="AZ15" s="471"/>
      <c r="BA15" s="472" t="s">
        <v>248</v>
      </c>
      <c r="BB15" s="471"/>
      <c r="BC15" s="472" t="s">
        <v>249</v>
      </c>
      <c r="BD15" s="473"/>
    </row>
    <row r="16" spans="2:59" ht="15" customHeight="1" x14ac:dyDescent="0.3">
      <c r="B16" s="90" t="s">
        <v>279</v>
      </c>
      <c r="C16" s="95" t="s">
        <v>13</v>
      </c>
      <c r="D16" s="91">
        <v>1.89</v>
      </c>
      <c r="E16" s="83">
        <f>25</f>
        <v>25</v>
      </c>
      <c r="F16" s="96" t="s">
        <v>13</v>
      </c>
      <c r="G16" s="85">
        <v>1.89</v>
      </c>
      <c r="H16" s="83">
        <v>25</v>
      </c>
      <c r="I16" s="84" t="s">
        <v>13</v>
      </c>
      <c r="J16" s="135">
        <f t="shared" si="0"/>
        <v>0.22500000000000001</v>
      </c>
      <c r="K16" s="134">
        <f t="shared" si="1"/>
        <v>9</v>
      </c>
      <c r="L16" s="40"/>
      <c r="M16" s="40"/>
      <c r="N16" s="40"/>
      <c r="O16" s="94"/>
      <c r="P16" s="40"/>
      <c r="Q16" s="40"/>
      <c r="R16" s="183" t="s">
        <v>23</v>
      </c>
      <c r="S16" s="172">
        <v>0.14000000000000001</v>
      </c>
      <c r="T16" s="164">
        <v>0.14000000000000001</v>
      </c>
      <c r="U16" s="164">
        <v>0.27</v>
      </c>
      <c r="V16" s="164">
        <v>0.28000000000000003</v>
      </c>
      <c r="W16" s="164">
        <v>0.83</v>
      </c>
      <c r="X16" s="165">
        <v>0.85</v>
      </c>
      <c r="Y16" s="172">
        <v>0.14000000000000001</v>
      </c>
      <c r="Z16" s="164">
        <v>0.14000000000000001</v>
      </c>
      <c r="AA16" s="164">
        <v>0.27</v>
      </c>
      <c r="AB16" s="164">
        <v>0.28000000000000003</v>
      </c>
      <c r="AC16" s="164">
        <v>0.83</v>
      </c>
      <c r="AD16" s="165">
        <v>0.85</v>
      </c>
      <c r="AE16" s="172">
        <v>1.31</v>
      </c>
      <c r="AF16" s="164">
        <v>0.98</v>
      </c>
      <c r="AG16" s="164">
        <v>1.31</v>
      </c>
      <c r="AH16" s="164">
        <v>0.98</v>
      </c>
      <c r="AI16" s="164">
        <v>1.31</v>
      </c>
      <c r="AJ16" s="165">
        <v>1.31</v>
      </c>
      <c r="AK16" s="40"/>
      <c r="AL16" s="183" t="s">
        <v>23</v>
      </c>
      <c r="AM16" s="187">
        <v>35.869999999999997</v>
      </c>
      <c r="AN16" s="167">
        <v>35.869999999999997</v>
      </c>
      <c r="AO16" s="167">
        <v>22.72</v>
      </c>
      <c r="AP16" s="167">
        <v>24.35</v>
      </c>
      <c r="AQ16" s="167">
        <v>18.309999999999999</v>
      </c>
      <c r="AR16" s="168">
        <v>18.64</v>
      </c>
      <c r="AS16" s="187">
        <v>35.869999999999997</v>
      </c>
      <c r="AT16" s="167">
        <v>35.869999999999997</v>
      </c>
      <c r="AU16" s="167">
        <v>22.72</v>
      </c>
      <c r="AV16" s="167">
        <v>24.35</v>
      </c>
      <c r="AW16" s="167">
        <v>18.309999999999999</v>
      </c>
      <c r="AX16" s="168">
        <v>18.64</v>
      </c>
      <c r="AY16" s="185">
        <v>22.54</v>
      </c>
      <c r="AZ16" s="167">
        <v>18.100000000000001</v>
      </c>
      <c r="BA16" s="167">
        <v>22.54</v>
      </c>
      <c r="BB16" s="167">
        <v>18.100000000000001</v>
      </c>
      <c r="BC16" s="167">
        <v>22.54</v>
      </c>
      <c r="BD16" s="168">
        <v>22.54</v>
      </c>
    </row>
    <row r="17" spans="2:56" ht="15" customHeight="1" x14ac:dyDescent="0.3">
      <c r="B17" s="90" t="s">
        <v>280</v>
      </c>
      <c r="C17" s="95" t="s">
        <v>61</v>
      </c>
      <c r="D17" s="91">
        <f>IF(Table1[[#This Row],[2022 Value known?]]="No",6,0)</f>
        <v>6</v>
      </c>
      <c r="E17" s="83">
        <f>25</f>
        <v>25</v>
      </c>
      <c r="F17" s="96" t="s">
        <v>61</v>
      </c>
      <c r="G17" s="85">
        <f>IF(Table1[[#This Row],[2025 Value known?]]="No",6,0)</f>
        <v>6</v>
      </c>
      <c r="H17" s="83">
        <v>25</v>
      </c>
      <c r="I17" s="84" t="s">
        <v>61</v>
      </c>
      <c r="J17" s="135">
        <v>6</v>
      </c>
      <c r="K17" s="134">
        <v>25</v>
      </c>
      <c r="L17" s="40"/>
      <c r="M17" s="40"/>
      <c r="N17" s="98" t="s">
        <v>364</v>
      </c>
      <c r="O17" s="99" t="s">
        <v>365</v>
      </c>
      <c r="P17" s="100" t="s">
        <v>366</v>
      </c>
      <c r="Q17" s="40"/>
      <c r="R17" s="180" t="s">
        <v>246</v>
      </c>
      <c r="S17" s="173">
        <v>0.09</v>
      </c>
      <c r="T17" s="152">
        <v>0.09</v>
      </c>
      <c r="U17" s="152">
        <v>0.15</v>
      </c>
      <c r="V17" s="152">
        <v>0.15</v>
      </c>
      <c r="W17" s="152">
        <v>0.51</v>
      </c>
      <c r="X17" s="154">
        <v>0.51</v>
      </c>
      <c r="Y17" s="173">
        <v>0.09</v>
      </c>
      <c r="Z17" s="152">
        <v>0.09</v>
      </c>
      <c r="AA17" s="152">
        <v>0.15</v>
      </c>
      <c r="AB17" s="152">
        <v>0.15</v>
      </c>
      <c r="AC17" s="152">
        <v>0.51</v>
      </c>
      <c r="AD17" s="154">
        <v>0.51</v>
      </c>
      <c r="AE17" s="173">
        <v>0.16</v>
      </c>
      <c r="AF17" s="152">
        <v>0.16</v>
      </c>
      <c r="AG17" s="152">
        <v>0.26</v>
      </c>
      <c r="AH17" s="152">
        <v>0.25</v>
      </c>
      <c r="AI17" s="152">
        <v>0.8</v>
      </c>
      <c r="AJ17" s="154">
        <v>0.78</v>
      </c>
      <c r="AK17" s="40"/>
      <c r="AL17" s="180" t="s">
        <v>246</v>
      </c>
      <c r="AM17" s="188">
        <v>16.52</v>
      </c>
      <c r="AN17" s="166">
        <v>16.420000000000002</v>
      </c>
      <c r="AO17" s="166">
        <v>11.24</v>
      </c>
      <c r="AP17" s="166">
        <v>11.32</v>
      </c>
      <c r="AQ17" s="166">
        <v>9.85</v>
      </c>
      <c r="AR17" s="169">
        <v>9.8699999999999992</v>
      </c>
      <c r="AS17" s="188">
        <v>16.52</v>
      </c>
      <c r="AT17" s="166">
        <v>16.420000000000002</v>
      </c>
      <c r="AU17" s="166">
        <v>11.24</v>
      </c>
      <c r="AV17" s="166">
        <v>11.32</v>
      </c>
      <c r="AW17" s="166">
        <v>9.85</v>
      </c>
      <c r="AX17" s="169">
        <v>9.8699999999999992</v>
      </c>
      <c r="AY17" s="186">
        <v>22.39</v>
      </c>
      <c r="AZ17" s="166">
        <v>22.39</v>
      </c>
      <c r="BA17" s="166">
        <v>17.62</v>
      </c>
      <c r="BB17" s="166">
        <v>17.59</v>
      </c>
      <c r="BC17" s="166">
        <v>11.91</v>
      </c>
      <c r="BD17" s="169">
        <v>11.76</v>
      </c>
    </row>
    <row r="18" spans="2:56" ht="15" customHeight="1" x14ac:dyDescent="0.3">
      <c r="B18" s="90" t="s">
        <v>281</v>
      </c>
      <c r="C18" s="95" t="s">
        <v>61</v>
      </c>
      <c r="D18" s="91">
        <f>IF(Table1[[#This Row],[2022 Value known?]]="No",6,0)</f>
        <v>6</v>
      </c>
      <c r="E18" s="83">
        <f>25</f>
        <v>25</v>
      </c>
      <c r="F18" s="96" t="s">
        <v>61</v>
      </c>
      <c r="G18" s="85">
        <f>IF(Table1[[#This Row],[2025 Value known?]]="No",6,0)</f>
        <v>6</v>
      </c>
      <c r="H18" s="83">
        <v>25</v>
      </c>
      <c r="I18" s="84" t="s">
        <v>61</v>
      </c>
      <c r="J18" s="135">
        <v>6</v>
      </c>
      <c r="K18" s="134">
        <v>25</v>
      </c>
      <c r="L18" s="40"/>
      <c r="M18" s="40"/>
      <c r="N18" s="101" t="s">
        <v>619</v>
      </c>
      <c r="O18" s="95" t="s">
        <v>367</v>
      </c>
      <c r="P18" s="95" t="s">
        <v>367</v>
      </c>
      <c r="Q18" s="40"/>
      <c r="R18" s="180" t="s">
        <v>130</v>
      </c>
      <c r="S18" s="173">
        <v>7.0000000000000007E-2</v>
      </c>
      <c r="T18" s="152">
        <v>0.08</v>
      </c>
      <c r="U18" s="152">
        <v>0.28999999999999998</v>
      </c>
      <c r="V18" s="152">
        <v>0.3</v>
      </c>
      <c r="W18" s="152">
        <v>0.59</v>
      </c>
      <c r="X18" s="154">
        <v>0.59</v>
      </c>
      <c r="Y18" s="173">
        <v>7.0000000000000007E-2</v>
      </c>
      <c r="Z18" s="152">
        <v>0.08</v>
      </c>
      <c r="AA18" s="152">
        <v>0.28999999999999998</v>
      </c>
      <c r="AB18" s="152">
        <v>0.3</v>
      </c>
      <c r="AC18" s="152">
        <v>0.59</v>
      </c>
      <c r="AD18" s="154">
        <v>0.59</v>
      </c>
      <c r="AE18" s="173">
        <v>0.18</v>
      </c>
      <c r="AF18" s="152">
        <v>0.18</v>
      </c>
      <c r="AG18" s="152">
        <v>0.61</v>
      </c>
      <c r="AH18" s="152">
        <v>0.62</v>
      </c>
      <c r="AI18" s="152">
        <v>1</v>
      </c>
      <c r="AJ18" s="154">
        <v>1.01</v>
      </c>
      <c r="AK18" s="40"/>
      <c r="AL18" s="180" t="s">
        <v>130</v>
      </c>
      <c r="AM18" s="188">
        <v>30.56</v>
      </c>
      <c r="AN18" s="166">
        <v>31.47</v>
      </c>
      <c r="AO18" s="166">
        <v>20.94</v>
      </c>
      <c r="AP18" s="166">
        <v>21.21</v>
      </c>
      <c r="AQ18" s="166">
        <v>20.84</v>
      </c>
      <c r="AR18" s="169">
        <v>21.19</v>
      </c>
      <c r="AS18" s="188">
        <v>30.56</v>
      </c>
      <c r="AT18" s="166">
        <v>31.47</v>
      </c>
      <c r="AU18" s="166">
        <v>20.94</v>
      </c>
      <c r="AV18" s="166">
        <v>21.21</v>
      </c>
      <c r="AW18" s="166">
        <v>20.84</v>
      </c>
      <c r="AX18" s="169">
        <v>21.19</v>
      </c>
      <c r="AY18" s="186">
        <v>38.380000000000003</v>
      </c>
      <c r="AZ18" s="166">
        <v>38.380000000000003</v>
      </c>
      <c r="BA18" s="166">
        <v>27.25</v>
      </c>
      <c r="BB18" s="166">
        <v>28.27</v>
      </c>
      <c r="BC18" s="166">
        <v>23.37</v>
      </c>
      <c r="BD18" s="169">
        <v>23.83</v>
      </c>
    </row>
    <row r="19" spans="2:56" ht="15" customHeight="1" x14ac:dyDescent="0.3">
      <c r="B19" s="89" t="s">
        <v>282</v>
      </c>
      <c r="C19" s="95" t="s">
        <v>13</v>
      </c>
      <c r="D19" s="91">
        <v>0.86</v>
      </c>
      <c r="E19" s="83">
        <f>25</f>
        <v>25</v>
      </c>
      <c r="F19" s="96" t="s">
        <v>13</v>
      </c>
      <c r="G19" s="85">
        <v>0.86</v>
      </c>
      <c r="H19" s="83">
        <v>25</v>
      </c>
      <c r="I19" s="84" t="s">
        <v>13</v>
      </c>
      <c r="J19" s="135">
        <f>Table1[[#This Row],[Post 2025 TP Discharge level (mg/l)]]</f>
        <v>0.86</v>
      </c>
      <c r="K19" s="134">
        <f>Table1[[#This Row],[Post 2025 TN Discharge level (mg/l)]]</f>
        <v>25</v>
      </c>
      <c r="L19" s="40"/>
      <c r="M19" s="40"/>
      <c r="N19" s="101" t="s">
        <v>363</v>
      </c>
      <c r="O19" s="95">
        <v>9.6999999999999993</v>
      </c>
      <c r="P19" s="102">
        <v>72.900000000000006</v>
      </c>
      <c r="Q19" s="40"/>
      <c r="R19" s="180" t="s">
        <v>247</v>
      </c>
      <c r="S19" s="173">
        <v>0.16</v>
      </c>
      <c r="T19" s="152">
        <v>0.18</v>
      </c>
      <c r="U19" s="152">
        <v>0.39</v>
      </c>
      <c r="V19" s="152">
        <v>0.43</v>
      </c>
      <c r="W19" s="152">
        <v>0.6</v>
      </c>
      <c r="X19" s="154">
        <v>0.65</v>
      </c>
      <c r="Y19" s="173">
        <v>0.16</v>
      </c>
      <c r="Z19" s="152">
        <v>0.18</v>
      </c>
      <c r="AA19" s="152">
        <v>0.39</v>
      </c>
      <c r="AB19" s="152">
        <v>0.43</v>
      </c>
      <c r="AC19" s="152">
        <v>0.6</v>
      </c>
      <c r="AD19" s="154">
        <v>0.65</v>
      </c>
      <c r="AE19" s="173">
        <v>0.37</v>
      </c>
      <c r="AF19" s="152">
        <v>0.37</v>
      </c>
      <c r="AG19" s="152">
        <v>0.8</v>
      </c>
      <c r="AH19" s="152">
        <v>0.85</v>
      </c>
      <c r="AI19" s="152">
        <v>1.06</v>
      </c>
      <c r="AJ19" s="154">
        <v>1.26</v>
      </c>
      <c r="AK19" s="40"/>
      <c r="AL19" s="180" t="s">
        <v>247</v>
      </c>
      <c r="AM19" s="188">
        <v>257.38</v>
      </c>
      <c r="AN19" s="166">
        <v>243.03</v>
      </c>
      <c r="AO19" s="166">
        <v>158.74</v>
      </c>
      <c r="AP19" s="166">
        <v>165.42</v>
      </c>
      <c r="AQ19" s="166">
        <v>146.43</v>
      </c>
      <c r="AR19" s="169">
        <v>156.49</v>
      </c>
      <c r="AS19" s="188">
        <v>257.38</v>
      </c>
      <c r="AT19" s="166">
        <v>243.03</v>
      </c>
      <c r="AU19" s="166">
        <v>158.74</v>
      </c>
      <c r="AV19" s="166">
        <v>165.42</v>
      </c>
      <c r="AW19" s="166">
        <v>146.43</v>
      </c>
      <c r="AX19" s="169">
        <v>156.49</v>
      </c>
      <c r="AY19" s="186">
        <v>287.23</v>
      </c>
      <c r="AZ19" s="166">
        <v>287.23</v>
      </c>
      <c r="BA19" s="166">
        <v>187.03</v>
      </c>
      <c r="BB19" s="166">
        <v>195.03</v>
      </c>
      <c r="BC19" s="166">
        <v>157.06</v>
      </c>
      <c r="BD19" s="169">
        <v>160.54</v>
      </c>
    </row>
    <row r="20" spans="2:56" ht="15" customHeight="1" x14ac:dyDescent="0.3">
      <c r="B20" s="89" t="s">
        <v>283</v>
      </c>
      <c r="C20" s="95" t="s">
        <v>61</v>
      </c>
      <c r="D20" s="91">
        <f>IF(Table1[[#This Row],[2022 Value known?]]="No",6,0)</f>
        <v>6</v>
      </c>
      <c r="E20" s="83">
        <f>25</f>
        <v>25</v>
      </c>
      <c r="F20" s="96" t="s">
        <v>61</v>
      </c>
      <c r="G20" s="85">
        <f>IF(Table1[[#This Row],[2025 Value known?]]="No",6,0)</f>
        <v>6</v>
      </c>
      <c r="H20" s="83">
        <v>25</v>
      </c>
      <c r="I20" s="84" t="s">
        <v>61</v>
      </c>
      <c r="J20" s="135">
        <v>6</v>
      </c>
      <c r="K20" s="134">
        <v>25</v>
      </c>
      <c r="L20" s="40"/>
      <c r="M20" s="40"/>
      <c r="N20" s="101" t="s">
        <v>620</v>
      </c>
      <c r="O20" s="95" t="s">
        <v>367</v>
      </c>
      <c r="P20" s="95" t="s">
        <v>367</v>
      </c>
      <c r="Q20" s="40"/>
      <c r="R20" s="180" t="s">
        <v>381</v>
      </c>
      <c r="S20" s="173">
        <v>0.08</v>
      </c>
      <c r="T20" s="152">
        <v>0.1</v>
      </c>
      <c r="U20" s="152">
        <v>0.35</v>
      </c>
      <c r="V20" s="152">
        <v>0.38</v>
      </c>
      <c r="W20" s="152">
        <v>0.57999999999999996</v>
      </c>
      <c r="X20" s="154">
        <v>0.62</v>
      </c>
      <c r="Y20" s="173">
        <v>0.08</v>
      </c>
      <c r="Z20" s="152">
        <v>0.1</v>
      </c>
      <c r="AA20" s="152">
        <v>0.35</v>
      </c>
      <c r="AB20" s="152">
        <v>0.38</v>
      </c>
      <c r="AC20" s="152">
        <v>0.57999999999999996</v>
      </c>
      <c r="AD20" s="154">
        <v>0.62</v>
      </c>
      <c r="AE20" s="173">
        <v>0.23</v>
      </c>
      <c r="AF20" s="152">
        <v>0.23</v>
      </c>
      <c r="AG20" s="152">
        <v>0.77</v>
      </c>
      <c r="AH20" s="152">
        <v>0.82</v>
      </c>
      <c r="AI20" s="152">
        <v>1</v>
      </c>
      <c r="AJ20" s="154">
        <v>1.1200000000000001</v>
      </c>
      <c r="AK20" s="40"/>
      <c r="AL20" s="180" t="s">
        <v>381</v>
      </c>
      <c r="AM20" s="188">
        <v>101.74</v>
      </c>
      <c r="AN20" s="166">
        <v>125.44</v>
      </c>
      <c r="AO20" s="166">
        <v>64.59</v>
      </c>
      <c r="AP20" s="166">
        <v>67</v>
      </c>
      <c r="AQ20" s="166">
        <v>60.94</v>
      </c>
      <c r="AR20" s="169">
        <v>64.61</v>
      </c>
      <c r="AS20" s="188">
        <v>101.74</v>
      </c>
      <c r="AT20" s="166">
        <v>125.44</v>
      </c>
      <c r="AU20" s="166">
        <v>64.59</v>
      </c>
      <c r="AV20" s="166">
        <v>67</v>
      </c>
      <c r="AW20" s="166">
        <v>60.94</v>
      </c>
      <c r="AX20" s="169">
        <v>64.61</v>
      </c>
      <c r="AY20" s="186">
        <v>147.9</v>
      </c>
      <c r="AZ20" s="166">
        <v>147.9</v>
      </c>
      <c r="BA20" s="166">
        <v>97.81</v>
      </c>
      <c r="BB20" s="166">
        <v>101.8</v>
      </c>
      <c r="BC20" s="166">
        <v>65.709999999999994</v>
      </c>
      <c r="BD20" s="169">
        <v>86.47</v>
      </c>
    </row>
    <row r="21" spans="2:56" ht="15" customHeight="1" x14ac:dyDescent="0.3">
      <c r="B21" s="89" t="s">
        <v>284</v>
      </c>
      <c r="C21" s="95" t="s">
        <v>61</v>
      </c>
      <c r="D21" s="91">
        <f>IF(Table1[[#This Row],[2022 Value known?]]="No",6,0)</f>
        <v>6</v>
      </c>
      <c r="E21" s="83">
        <f>25</f>
        <v>25</v>
      </c>
      <c r="F21" s="96" t="s">
        <v>61</v>
      </c>
      <c r="G21" s="85">
        <f>IF(Table1[[#This Row],[2025 Value known?]]="No",6,0)</f>
        <v>6</v>
      </c>
      <c r="H21" s="83">
        <v>25</v>
      </c>
      <c r="I21" s="84" t="s">
        <v>61</v>
      </c>
      <c r="J21" s="135">
        <v>6</v>
      </c>
      <c r="K21" s="134">
        <v>25</v>
      </c>
      <c r="L21" s="40"/>
      <c r="M21" s="40"/>
      <c r="N21" s="101" t="s">
        <v>368</v>
      </c>
      <c r="O21" s="95">
        <v>7</v>
      </c>
      <c r="P21" s="102">
        <v>96.3</v>
      </c>
      <c r="Q21" s="40"/>
      <c r="R21" s="180" t="s">
        <v>22</v>
      </c>
      <c r="S21" s="173">
        <v>0.05</v>
      </c>
      <c r="T21" s="152">
        <v>0.05</v>
      </c>
      <c r="U21" s="152">
        <v>0.31</v>
      </c>
      <c r="V21" s="152">
        <v>0.31</v>
      </c>
      <c r="W21" s="152">
        <v>0.52</v>
      </c>
      <c r="X21" s="154">
        <v>0.52</v>
      </c>
      <c r="Y21" s="173">
        <v>0.05</v>
      </c>
      <c r="Z21" s="152">
        <v>0.05</v>
      </c>
      <c r="AA21" s="152">
        <v>0.31</v>
      </c>
      <c r="AB21" s="152">
        <v>0.31</v>
      </c>
      <c r="AC21" s="152">
        <v>0.52</v>
      </c>
      <c r="AD21" s="154">
        <v>0.52</v>
      </c>
      <c r="AE21" s="173">
        <v>0.15</v>
      </c>
      <c r="AF21" s="152">
        <v>0.15</v>
      </c>
      <c r="AG21" s="152">
        <v>0.64</v>
      </c>
      <c r="AH21" s="152">
        <v>0.66</v>
      </c>
      <c r="AI21" s="152">
        <v>0.92</v>
      </c>
      <c r="AJ21" s="154">
        <v>0.92</v>
      </c>
      <c r="AK21" s="40"/>
      <c r="AL21" s="180" t="s">
        <v>22</v>
      </c>
      <c r="AM21" s="188">
        <v>21.86</v>
      </c>
      <c r="AN21" s="166">
        <v>22.15</v>
      </c>
      <c r="AO21" s="166">
        <v>15.39</v>
      </c>
      <c r="AP21" s="166">
        <v>15.5</v>
      </c>
      <c r="AQ21" s="166">
        <v>15.96</v>
      </c>
      <c r="AR21" s="169">
        <v>15.99</v>
      </c>
      <c r="AS21" s="188">
        <v>21.86</v>
      </c>
      <c r="AT21" s="166">
        <v>22.15</v>
      </c>
      <c r="AU21" s="166">
        <v>15.39</v>
      </c>
      <c r="AV21" s="166">
        <v>15.5</v>
      </c>
      <c r="AW21" s="166">
        <v>15.96</v>
      </c>
      <c r="AX21" s="169">
        <v>15.99</v>
      </c>
      <c r="AY21" s="186">
        <v>26.19</v>
      </c>
      <c r="AZ21" s="166">
        <v>26.19</v>
      </c>
      <c r="BA21" s="166">
        <v>19.05</v>
      </c>
      <c r="BB21" s="166">
        <v>19.13</v>
      </c>
      <c r="BC21" s="166">
        <v>17.12</v>
      </c>
      <c r="BD21" s="169">
        <v>17.149999999999999</v>
      </c>
    </row>
    <row r="22" spans="2:56" ht="15" customHeight="1" x14ac:dyDescent="0.3">
      <c r="B22" s="90" t="s">
        <v>285</v>
      </c>
      <c r="C22" s="95" t="s">
        <v>61</v>
      </c>
      <c r="D22" s="91">
        <f>IF(Table1[[#This Row],[2022 Value known?]]="No",6,0)</f>
        <v>6</v>
      </c>
      <c r="E22" s="83">
        <f>25</f>
        <v>25</v>
      </c>
      <c r="F22" s="96" t="s">
        <v>61</v>
      </c>
      <c r="G22" s="85">
        <f>IF(Table1[[#This Row],[2025 Value known?]]="No",6,0)</f>
        <v>6</v>
      </c>
      <c r="H22" s="83">
        <v>25</v>
      </c>
      <c r="I22" s="84" t="s">
        <v>61</v>
      </c>
      <c r="J22" s="135">
        <v>6</v>
      </c>
      <c r="K22" s="134">
        <v>25</v>
      </c>
      <c r="L22" s="40"/>
      <c r="M22" s="40"/>
      <c r="N22" s="103" t="s">
        <v>369</v>
      </c>
      <c r="O22" s="95">
        <v>11.6</v>
      </c>
      <c r="P22" s="102">
        <v>96.3</v>
      </c>
      <c r="Q22" s="40"/>
      <c r="R22" s="180" t="s">
        <v>380</v>
      </c>
      <c r="S22" s="173">
        <v>0.06</v>
      </c>
      <c r="T22" s="152">
        <v>0.06</v>
      </c>
      <c r="U22" s="152">
        <v>0.34</v>
      </c>
      <c r="V22" s="152">
        <v>0.34</v>
      </c>
      <c r="W22" s="152">
        <v>0.56000000000000005</v>
      </c>
      <c r="X22" s="154">
        <v>0.56000000000000005</v>
      </c>
      <c r="Y22" s="173">
        <v>0.06</v>
      </c>
      <c r="Z22" s="152">
        <v>0.06</v>
      </c>
      <c r="AA22" s="152">
        <v>0.34</v>
      </c>
      <c r="AB22" s="152">
        <v>0.34</v>
      </c>
      <c r="AC22" s="152">
        <v>0.56000000000000005</v>
      </c>
      <c r="AD22" s="154">
        <v>0.56000000000000005</v>
      </c>
      <c r="AE22" s="173">
        <v>0.17</v>
      </c>
      <c r="AF22" s="152">
        <v>0.18</v>
      </c>
      <c r="AG22" s="152">
        <v>0.73</v>
      </c>
      <c r="AH22" s="152">
        <v>0.74</v>
      </c>
      <c r="AI22" s="152">
        <v>0.98</v>
      </c>
      <c r="AJ22" s="154">
        <v>0.99</v>
      </c>
      <c r="AK22" s="40"/>
      <c r="AL22" s="180" t="s">
        <v>380</v>
      </c>
      <c r="AM22" s="188">
        <v>26.13</v>
      </c>
      <c r="AN22" s="166">
        <v>26.21</v>
      </c>
      <c r="AO22" s="166">
        <v>19.23</v>
      </c>
      <c r="AP22" s="166">
        <v>19.29</v>
      </c>
      <c r="AQ22" s="166">
        <v>20.56</v>
      </c>
      <c r="AR22" s="169">
        <v>20.62</v>
      </c>
      <c r="AS22" s="188">
        <v>26.13</v>
      </c>
      <c r="AT22" s="166">
        <v>26.21</v>
      </c>
      <c r="AU22" s="166">
        <v>19.23</v>
      </c>
      <c r="AV22" s="166">
        <v>19.29</v>
      </c>
      <c r="AW22" s="166">
        <v>20.56</v>
      </c>
      <c r="AX22" s="169">
        <v>20.62</v>
      </c>
      <c r="AY22" s="186">
        <v>31.21</v>
      </c>
      <c r="AZ22" s="166">
        <v>31.51</v>
      </c>
      <c r="BA22" s="166">
        <v>23.99</v>
      </c>
      <c r="BB22" s="166">
        <v>24.03</v>
      </c>
      <c r="BC22" s="166">
        <v>22.55</v>
      </c>
      <c r="BD22" s="169">
        <v>22.42</v>
      </c>
    </row>
    <row r="23" spans="2:56" ht="15" customHeight="1" x14ac:dyDescent="0.3">
      <c r="B23" s="90" t="s">
        <v>286</v>
      </c>
      <c r="C23" s="95" t="s">
        <v>13</v>
      </c>
      <c r="D23" s="91">
        <v>0.76</v>
      </c>
      <c r="E23" s="83">
        <f>25</f>
        <v>25</v>
      </c>
      <c r="F23" s="96" t="s">
        <v>13</v>
      </c>
      <c r="G23" s="85">
        <v>0.76</v>
      </c>
      <c r="H23" s="83">
        <v>25</v>
      </c>
      <c r="I23" s="84" t="s">
        <v>13</v>
      </c>
      <c r="J23" s="135">
        <f t="shared" si="0"/>
        <v>0.22500000000000001</v>
      </c>
      <c r="K23" s="134">
        <f t="shared" si="1"/>
        <v>9</v>
      </c>
      <c r="L23" s="40"/>
      <c r="M23" s="40"/>
      <c r="N23" s="40"/>
      <c r="O23" s="94"/>
      <c r="P23" s="40"/>
      <c r="Q23" s="40"/>
      <c r="R23" s="180" t="s">
        <v>90</v>
      </c>
      <c r="S23" s="173">
        <v>0.05</v>
      </c>
      <c r="T23" s="152">
        <v>0.05</v>
      </c>
      <c r="U23" s="152">
        <v>0.28999999999999998</v>
      </c>
      <c r="V23" s="152">
        <v>0.28999999999999998</v>
      </c>
      <c r="W23" s="152">
        <v>0.49</v>
      </c>
      <c r="X23" s="154">
        <v>0.49</v>
      </c>
      <c r="Y23" s="173">
        <v>0.05</v>
      </c>
      <c r="Z23" s="152">
        <v>0.05</v>
      </c>
      <c r="AA23" s="152">
        <v>0.28999999999999998</v>
      </c>
      <c r="AB23" s="152">
        <v>0.28999999999999998</v>
      </c>
      <c r="AC23" s="152">
        <v>0.49</v>
      </c>
      <c r="AD23" s="154">
        <v>0.49</v>
      </c>
      <c r="AE23" s="173">
        <v>0.15</v>
      </c>
      <c r="AF23" s="152">
        <v>0.15</v>
      </c>
      <c r="AG23" s="152">
        <v>0.61</v>
      </c>
      <c r="AH23" s="152">
        <v>0.62</v>
      </c>
      <c r="AI23" s="152">
        <v>0.85</v>
      </c>
      <c r="AJ23" s="154">
        <v>0.86</v>
      </c>
      <c r="AK23" s="40"/>
      <c r="AL23" s="180" t="s">
        <v>90</v>
      </c>
      <c r="AM23" s="188">
        <v>24.7</v>
      </c>
      <c r="AN23" s="166">
        <v>24.77</v>
      </c>
      <c r="AO23" s="166">
        <v>17.41</v>
      </c>
      <c r="AP23" s="166">
        <v>17.46</v>
      </c>
      <c r="AQ23" s="166">
        <v>18.16</v>
      </c>
      <c r="AR23" s="169">
        <v>18.2</v>
      </c>
      <c r="AS23" s="188">
        <v>24.7</v>
      </c>
      <c r="AT23" s="166">
        <v>24.77</v>
      </c>
      <c r="AU23" s="166">
        <v>17.41</v>
      </c>
      <c r="AV23" s="166">
        <v>17.46</v>
      </c>
      <c r="AW23" s="166">
        <v>18.16</v>
      </c>
      <c r="AX23" s="169">
        <v>18.2</v>
      </c>
      <c r="AY23" s="186">
        <v>31.17</v>
      </c>
      <c r="AZ23" s="166">
        <v>31.25</v>
      </c>
      <c r="BA23" s="166">
        <v>21.56</v>
      </c>
      <c r="BB23" s="166">
        <v>22.76</v>
      </c>
      <c r="BC23" s="166">
        <v>19.53</v>
      </c>
      <c r="BD23" s="169">
        <v>20.53</v>
      </c>
    </row>
    <row r="24" spans="2:56" ht="15" customHeight="1" thickBot="1" x14ac:dyDescent="0.35">
      <c r="B24" s="89" t="s">
        <v>287</v>
      </c>
      <c r="C24" s="95" t="s">
        <v>61</v>
      </c>
      <c r="D24" s="91">
        <f>IF(Table1[[#This Row],[2022 Value known?]]="No",6,0)</f>
        <v>6</v>
      </c>
      <c r="E24" s="83">
        <f>25</f>
        <v>25</v>
      </c>
      <c r="F24" s="96" t="s">
        <v>61</v>
      </c>
      <c r="G24" s="85">
        <f>IF(Table1[[#This Row],[2025 Value known?]]="No",6,0)</f>
        <v>6</v>
      </c>
      <c r="H24" s="83">
        <v>25</v>
      </c>
      <c r="I24" s="84" t="s">
        <v>61</v>
      </c>
      <c r="J24" s="135">
        <v>6</v>
      </c>
      <c r="K24" s="134">
        <v>25</v>
      </c>
      <c r="L24" s="40"/>
      <c r="M24" s="40"/>
      <c r="N24" s="40"/>
      <c r="O24" s="360"/>
      <c r="P24" s="40"/>
      <c r="Q24" s="40"/>
      <c r="R24" s="181" t="s">
        <v>569</v>
      </c>
      <c r="S24" s="155">
        <v>0.05</v>
      </c>
      <c r="T24" s="156">
        <v>0.05</v>
      </c>
      <c r="U24" s="156">
        <v>0.05</v>
      </c>
      <c r="V24" s="156">
        <v>0.05</v>
      </c>
      <c r="W24" s="156">
        <v>0.05</v>
      </c>
      <c r="X24" s="157">
        <v>0.05</v>
      </c>
      <c r="Y24" s="155">
        <v>0.05</v>
      </c>
      <c r="Z24" s="156">
        <v>0.05</v>
      </c>
      <c r="AA24" s="156">
        <v>0.05</v>
      </c>
      <c r="AB24" s="156">
        <v>0.05</v>
      </c>
      <c r="AC24" s="156">
        <v>0.05</v>
      </c>
      <c r="AD24" s="157">
        <v>0.05</v>
      </c>
      <c r="AE24" s="155">
        <v>0.62</v>
      </c>
      <c r="AF24" s="156">
        <v>0.62</v>
      </c>
      <c r="AG24" s="156">
        <v>0.62</v>
      </c>
      <c r="AH24" s="156">
        <v>0.62</v>
      </c>
      <c r="AI24" s="156">
        <v>0.62</v>
      </c>
      <c r="AJ24" s="157">
        <v>0.62</v>
      </c>
      <c r="AK24" s="40"/>
      <c r="AL24" s="181" t="s">
        <v>569</v>
      </c>
      <c r="AM24" s="155">
        <v>24.77</v>
      </c>
      <c r="AN24" s="156">
        <v>24.77</v>
      </c>
      <c r="AO24" s="156">
        <v>24.77</v>
      </c>
      <c r="AP24" s="156">
        <v>24.77</v>
      </c>
      <c r="AQ24" s="156">
        <v>24.77</v>
      </c>
      <c r="AR24" s="157">
        <v>24.77</v>
      </c>
      <c r="AS24" s="155">
        <v>24.77</v>
      </c>
      <c r="AT24" s="156">
        <v>24.77</v>
      </c>
      <c r="AU24" s="156">
        <v>24.77</v>
      </c>
      <c r="AV24" s="156">
        <v>24.77</v>
      </c>
      <c r="AW24" s="156">
        <v>24.77</v>
      </c>
      <c r="AX24" s="157">
        <v>24.77</v>
      </c>
      <c r="AY24" s="189">
        <v>26.19</v>
      </c>
      <c r="AZ24" s="170">
        <v>26.19</v>
      </c>
      <c r="BA24" s="170">
        <v>26.19</v>
      </c>
      <c r="BB24" s="170">
        <v>26.19</v>
      </c>
      <c r="BC24" s="170">
        <v>26.19</v>
      </c>
      <c r="BD24" s="171">
        <v>26.19</v>
      </c>
    </row>
    <row r="25" spans="2:56" ht="23.55" customHeight="1" thickBot="1" x14ac:dyDescent="0.35">
      <c r="B25" s="90" t="s">
        <v>288</v>
      </c>
      <c r="C25" s="95" t="s">
        <v>61</v>
      </c>
      <c r="D25" s="91">
        <f>IF(Table1[[#This Row],[2022 Value known?]]="No",6,0)</f>
        <v>6</v>
      </c>
      <c r="E25" s="83">
        <f>25</f>
        <v>25</v>
      </c>
      <c r="F25" s="96" t="s">
        <v>61</v>
      </c>
      <c r="G25" s="85">
        <f>IF(Table1[[#This Row],[2025 Value known?]]="No",6,0)</f>
        <v>6</v>
      </c>
      <c r="H25" s="83">
        <v>25</v>
      </c>
      <c r="I25" s="84" t="s">
        <v>61</v>
      </c>
      <c r="J25" s="135">
        <v>6</v>
      </c>
      <c r="K25" s="134">
        <v>25</v>
      </c>
      <c r="L25" s="40"/>
      <c r="M25" s="40"/>
      <c r="N25" s="40"/>
      <c r="O25" s="40"/>
      <c r="P25" s="40"/>
      <c r="Q25" s="40"/>
      <c r="R25" s="75" t="s">
        <v>386</v>
      </c>
      <c r="S25" s="478" t="s">
        <v>382</v>
      </c>
      <c r="T25" s="479"/>
      <c r="U25" s="479"/>
      <c r="V25" s="479"/>
      <c r="W25" s="479"/>
      <c r="X25" s="480"/>
      <c r="Y25" s="478" t="s">
        <v>383</v>
      </c>
      <c r="Z25" s="479"/>
      <c r="AA25" s="479"/>
      <c r="AB25" s="479"/>
      <c r="AC25" s="479"/>
      <c r="AD25" s="480"/>
      <c r="AE25" s="478" t="s">
        <v>384</v>
      </c>
      <c r="AF25" s="479"/>
      <c r="AG25" s="479"/>
      <c r="AH25" s="479"/>
      <c r="AI25" s="479"/>
      <c r="AJ25" s="480"/>
      <c r="AK25" s="40"/>
      <c r="AL25" s="75" t="s">
        <v>386</v>
      </c>
      <c r="AM25" s="478" t="s">
        <v>382</v>
      </c>
      <c r="AN25" s="479"/>
      <c r="AO25" s="479"/>
      <c r="AP25" s="479"/>
      <c r="AQ25" s="479"/>
      <c r="AR25" s="480"/>
      <c r="AS25" s="478" t="s">
        <v>383</v>
      </c>
      <c r="AT25" s="479"/>
      <c r="AU25" s="479"/>
      <c r="AV25" s="479"/>
      <c r="AW25" s="479"/>
      <c r="AX25" s="480"/>
      <c r="AY25" s="478" t="s">
        <v>384</v>
      </c>
      <c r="AZ25" s="479"/>
      <c r="BA25" s="479"/>
      <c r="BB25" s="479"/>
      <c r="BC25" s="479"/>
      <c r="BD25" s="480"/>
    </row>
    <row r="26" spans="2:56" ht="39" customHeight="1" thickBot="1" x14ac:dyDescent="0.35">
      <c r="B26" s="90" t="s">
        <v>289</v>
      </c>
      <c r="C26" s="95" t="s">
        <v>61</v>
      </c>
      <c r="D26" s="91">
        <f>IF(Table1[[#This Row],[2022 Value known?]]="No",6,0)</f>
        <v>6</v>
      </c>
      <c r="E26" s="83">
        <f>25</f>
        <v>25</v>
      </c>
      <c r="F26" s="96" t="s">
        <v>61</v>
      </c>
      <c r="G26" s="85">
        <f>IF(Table1[[#This Row],[2025 Value known?]]="No",6,0)</f>
        <v>6</v>
      </c>
      <c r="H26" s="83">
        <v>25</v>
      </c>
      <c r="I26" s="84" t="s">
        <v>61</v>
      </c>
      <c r="J26" s="135">
        <v>6</v>
      </c>
      <c r="K26" s="134">
        <v>25</v>
      </c>
      <c r="L26" s="40"/>
      <c r="M26" s="40"/>
      <c r="N26" s="40"/>
      <c r="O26" s="40"/>
      <c r="P26" s="40"/>
      <c r="Q26" s="40"/>
      <c r="R26" s="182" t="s">
        <v>74</v>
      </c>
      <c r="S26" s="483" t="s">
        <v>75</v>
      </c>
      <c r="T26" s="484"/>
      <c r="U26" s="472" t="s">
        <v>248</v>
      </c>
      <c r="V26" s="471"/>
      <c r="W26" s="472" t="s">
        <v>249</v>
      </c>
      <c r="X26" s="473"/>
      <c r="Y26" s="470" t="s">
        <v>75</v>
      </c>
      <c r="Z26" s="471"/>
      <c r="AA26" s="472" t="s">
        <v>248</v>
      </c>
      <c r="AB26" s="471"/>
      <c r="AC26" s="472" t="s">
        <v>249</v>
      </c>
      <c r="AD26" s="473"/>
      <c r="AE26" s="485" t="s">
        <v>75</v>
      </c>
      <c r="AF26" s="471"/>
      <c r="AG26" s="472" t="s">
        <v>248</v>
      </c>
      <c r="AH26" s="471"/>
      <c r="AI26" s="472" t="s">
        <v>249</v>
      </c>
      <c r="AJ26" s="473"/>
      <c r="AK26" s="40"/>
      <c r="AL26" s="160" t="s">
        <v>74</v>
      </c>
      <c r="AM26" s="161" t="s">
        <v>75</v>
      </c>
      <c r="AN26" s="162"/>
      <c r="AO26" s="472" t="s">
        <v>248</v>
      </c>
      <c r="AP26" s="471"/>
      <c r="AQ26" s="472" t="s">
        <v>249</v>
      </c>
      <c r="AR26" s="473"/>
      <c r="AS26" s="470" t="s">
        <v>75</v>
      </c>
      <c r="AT26" s="471"/>
      <c r="AU26" s="472" t="s">
        <v>248</v>
      </c>
      <c r="AV26" s="471"/>
      <c r="AW26" s="472" t="s">
        <v>249</v>
      </c>
      <c r="AX26" s="473"/>
      <c r="AY26" s="470" t="s">
        <v>75</v>
      </c>
      <c r="AZ26" s="471"/>
      <c r="BA26" s="472" t="s">
        <v>248</v>
      </c>
      <c r="BB26" s="471"/>
      <c r="BC26" s="472" t="s">
        <v>249</v>
      </c>
      <c r="BD26" s="473"/>
    </row>
    <row r="27" spans="2:56" ht="13.8" x14ac:dyDescent="0.3">
      <c r="B27" s="90" t="s">
        <v>290</v>
      </c>
      <c r="C27" s="95" t="s">
        <v>13</v>
      </c>
      <c r="D27" s="138">
        <f>1*0.9</f>
        <v>0.9</v>
      </c>
      <c r="E27" s="83">
        <f>25</f>
        <v>25</v>
      </c>
      <c r="F27" s="96" t="s">
        <v>13</v>
      </c>
      <c r="G27" s="141">
        <f>Table1[[#This Row],[2022 TP Discharge level (mg/l)]]</f>
        <v>0.9</v>
      </c>
      <c r="H27" s="83">
        <v>25</v>
      </c>
      <c r="I27" s="84" t="s">
        <v>13</v>
      </c>
      <c r="J27" s="135">
        <f t="shared" si="0"/>
        <v>0.22500000000000001</v>
      </c>
      <c r="K27" s="134">
        <f t="shared" si="1"/>
        <v>9</v>
      </c>
      <c r="L27" s="40"/>
      <c r="M27" s="40"/>
      <c r="N27" s="40"/>
      <c r="O27" s="40"/>
      <c r="P27" s="40"/>
      <c r="Q27" s="40"/>
      <c r="R27" s="183" t="s">
        <v>23</v>
      </c>
      <c r="S27" s="172">
        <v>0.14000000000000001</v>
      </c>
      <c r="T27" s="164">
        <v>0.14000000000000001</v>
      </c>
      <c r="U27" s="164">
        <v>0.28000000000000003</v>
      </c>
      <c r="V27" s="164">
        <v>0.28000000000000003</v>
      </c>
      <c r="W27" s="164">
        <v>0.88</v>
      </c>
      <c r="X27" s="165">
        <v>0.9</v>
      </c>
      <c r="Y27" s="172">
        <v>0.14000000000000001</v>
      </c>
      <c r="Z27" s="164">
        <v>0.14000000000000001</v>
      </c>
      <c r="AA27" s="164">
        <v>0.28000000000000003</v>
      </c>
      <c r="AB27" s="164">
        <v>0.28000000000000003</v>
      </c>
      <c r="AC27" s="164">
        <v>0.88</v>
      </c>
      <c r="AD27" s="165">
        <v>0.9</v>
      </c>
      <c r="AE27" s="184">
        <v>1.31</v>
      </c>
      <c r="AF27" s="164">
        <v>0.98</v>
      </c>
      <c r="AG27" s="164">
        <v>1.31</v>
      </c>
      <c r="AH27" s="164">
        <v>0.98</v>
      </c>
      <c r="AI27" s="164">
        <v>1.31</v>
      </c>
      <c r="AJ27" s="165">
        <v>1.31</v>
      </c>
      <c r="AK27" s="40"/>
      <c r="AL27" s="183" t="s">
        <v>23</v>
      </c>
      <c r="AM27" s="187">
        <v>35.869999999999997</v>
      </c>
      <c r="AN27" s="167">
        <v>35.799999999999997</v>
      </c>
      <c r="AO27" s="167">
        <v>24.09</v>
      </c>
      <c r="AP27" s="167">
        <v>24.35</v>
      </c>
      <c r="AQ27" s="167">
        <v>19.059999999999999</v>
      </c>
      <c r="AR27" s="168">
        <v>19.43</v>
      </c>
      <c r="AS27" s="187">
        <v>35.869999999999997</v>
      </c>
      <c r="AT27" s="167">
        <v>35.799999999999997</v>
      </c>
      <c r="AU27" s="167">
        <v>24.09</v>
      </c>
      <c r="AV27" s="167">
        <v>24.35</v>
      </c>
      <c r="AW27" s="167">
        <v>19.059999999999999</v>
      </c>
      <c r="AX27" s="168">
        <v>19.43</v>
      </c>
      <c r="AY27" s="185">
        <v>22.54</v>
      </c>
      <c r="AZ27" s="167">
        <v>18.100000000000001</v>
      </c>
      <c r="BA27" s="167">
        <v>22.54</v>
      </c>
      <c r="BB27" s="167">
        <v>18.100000000000001</v>
      </c>
      <c r="BC27" s="167">
        <v>22.54</v>
      </c>
      <c r="BD27" s="168">
        <v>22.54</v>
      </c>
    </row>
    <row r="28" spans="2:56" ht="13.8" x14ac:dyDescent="0.3">
      <c r="B28" s="90" t="s">
        <v>291</v>
      </c>
      <c r="C28" s="95" t="s">
        <v>61</v>
      </c>
      <c r="D28" s="91">
        <f>IF(Table1[[#This Row],[2022 Value known?]]="No",6,0)</f>
        <v>6</v>
      </c>
      <c r="E28" s="83">
        <f>25</f>
        <v>25</v>
      </c>
      <c r="F28" s="96" t="s">
        <v>61</v>
      </c>
      <c r="G28" s="85">
        <f>IF(Table1[[#This Row],[2025 Value known?]]="No",6,0)</f>
        <v>6</v>
      </c>
      <c r="H28" s="83">
        <v>25</v>
      </c>
      <c r="I28" s="84" t="s">
        <v>61</v>
      </c>
      <c r="J28" s="135">
        <v>6</v>
      </c>
      <c r="K28" s="134">
        <v>25</v>
      </c>
      <c r="L28" s="40"/>
      <c r="M28" s="40"/>
      <c r="N28" s="40"/>
      <c r="O28" s="40"/>
      <c r="P28" s="40"/>
      <c r="Q28" s="40"/>
      <c r="R28" s="180" t="s">
        <v>246</v>
      </c>
      <c r="S28" s="173">
        <v>0.1</v>
      </c>
      <c r="T28" s="152">
        <v>0.1</v>
      </c>
      <c r="U28" s="152">
        <v>0.16</v>
      </c>
      <c r="V28" s="152">
        <v>0.16</v>
      </c>
      <c r="W28" s="152">
        <v>0.5</v>
      </c>
      <c r="X28" s="154">
        <v>0.5</v>
      </c>
      <c r="Y28" s="173">
        <v>0.1</v>
      </c>
      <c r="Z28" s="152">
        <v>0.1</v>
      </c>
      <c r="AA28" s="152">
        <v>0.16</v>
      </c>
      <c r="AB28" s="152">
        <v>0.16</v>
      </c>
      <c r="AC28" s="152">
        <v>0.5</v>
      </c>
      <c r="AD28" s="154">
        <v>0.5</v>
      </c>
      <c r="AE28" s="175">
        <v>0.17</v>
      </c>
      <c r="AF28" s="152">
        <v>0.16</v>
      </c>
      <c r="AG28" s="152">
        <v>0.28000000000000003</v>
      </c>
      <c r="AH28" s="152">
        <v>0.25</v>
      </c>
      <c r="AI28" s="152">
        <v>0.85</v>
      </c>
      <c r="AJ28" s="154">
        <v>0.78</v>
      </c>
      <c r="AK28" s="40"/>
      <c r="AL28" s="180" t="s">
        <v>246</v>
      </c>
      <c r="AM28" s="188">
        <v>18.149999999999999</v>
      </c>
      <c r="AN28" s="166">
        <v>18.29</v>
      </c>
      <c r="AO28" s="166">
        <v>12.39</v>
      </c>
      <c r="AP28" s="166">
        <v>12.48</v>
      </c>
      <c r="AQ28" s="166">
        <v>9.65</v>
      </c>
      <c r="AR28" s="169">
        <v>9.68</v>
      </c>
      <c r="AS28" s="188">
        <v>18.149999999999999</v>
      </c>
      <c r="AT28" s="166">
        <v>18.29</v>
      </c>
      <c r="AU28" s="166">
        <v>12.39</v>
      </c>
      <c r="AV28" s="166">
        <v>12.48</v>
      </c>
      <c r="AW28" s="166">
        <v>9.65</v>
      </c>
      <c r="AX28" s="169">
        <v>9.68</v>
      </c>
      <c r="AY28" s="186">
        <v>25</v>
      </c>
      <c r="AZ28" s="166">
        <v>22.39</v>
      </c>
      <c r="BA28" s="166">
        <v>19.5</v>
      </c>
      <c r="BB28" s="166">
        <v>17.59</v>
      </c>
      <c r="BC28" s="166">
        <v>13.14</v>
      </c>
      <c r="BD28" s="169">
        <v>11.76</v>
      </c>
    </row>
    <row r="29" spans="2:56" ht="13.8" x14ac:dyDescent="0.3">
      <c r="B29" s="90" t="s">
        <v>292</v>
      </c>
      <c r="C29" s="95" t="s">
        <v>61</v>
      </c>
      <c r="D29" s="91">
        <f>IF(Table1[[#This Row],[2022 Value known?]]="No",6,0)</f>
        <v>6</v>
      </c>
      <c r="E29" s="83">
        <f>25</f>
        <v>25</v>
      </c>
      <c r="F29" s="96" t="s">
        <v>61</v>
      </c>
      <c r="G29" s="85">
        <f>IF(Table1[[#This Row],[2025 Value known?]]="No",6,0)</f>
        <v>6</v>
      </c>
      <c r="H29" s="83">
        <v>25</v>
      </c>
      <c r="I29" s="84" t="s">
        <v>13</v>
      </c>
      <c r="J29" s="135">
        <f t="shared" si="0"/>
        <v>0.22500000000000001</v>
      </c>
      <c r="K29" s="134">
        <f t="shared" si="1"/>
        <v>9</v>
      </c>
      <c r="L29" s="40"/>
      <c r="M29" s="40"/>
      <c r="N29" s="40"/>
      <c r="O29" s="40"/>
      <c r="P29" s="40"/>
      <c r="Q29" s="40"/>
      <c r="R29" s="180" t="s">
        <v>130</v>
      </c>
      <c r="S29" s="173">
        <v>0.09</v>
      </c>
      <c r="T29" s="152">
        <v>0.09</v>
      </c>
      <c r="U29" s="152">
        <v>0.33</v>
      </c>
      <c r="V29" s="152">
        <v>0.33</v>
      </c>
      <c r="W29" s="152">
        <v>0.6</v>
      </c>
      <c r="X29" s="154">
        <v>0.6</v>
      </c>
      <c r="Y29" s="173">
        <v>0.09</v>
      </c>
      <c r="Z29" s="152">
        <v>0.09</v>
      </c>
      <c r="AA29" s="152">
        <v>0.33</v>
      </c>
      <c r="AB29" s="152">
        <v>0.33</v>
      </c>
      <c r="AC29" s="152">
        <v>0.6</v>
      </c>
      <c r="AD29" s="154">
        <v>0.6</v>
      </c>
      <c r="AE29" s="175">
        <v>0.2</v>
      </c>
      <c r="AF29" s="152">
        <v>0.18</v>
      </c>
      <c r="AG29" s="152">
        <v>0.67</v>
      </c>
      <c r="AH29" s="152">
        <v>0.62</v>
      </c>
      <c r="AI29" s="152">
        <v>1</v>
      </c>
      <c r="AJ29" s="154">
        <v>1.01</v>
      </c>
      <c r="AK29" s="40"/>
      <c r="AL29" s="180" t="s">
        <v>130</v>
      </c>
      <c r="AM29" s="188">
        <v>34.6</v>
      </c>
      <c r="AN29" s="166">
        <v>34.74</v>
      </c>
      <c r="AO29" s="166">
        <v>23.56</v>
      </c>
      <c r="AP29" s="166">
        <v>23.85</v>
      </c>
      <c r="AQ29" s="166">
        <v>21.18</v>
      </c>
      <c r="AR29" s="169">
        <v>21.55</v>
      </c>
      <c r="AS29" s="188">
        <v>34.6</v>
      </c>
      <c r="AT29" s="166">
        <v>34.74</v>
      </c>
      <c r="AU29" s="166">
        <v>23.56</v>
      </c>
      <c r="AV29" s="166">
        <v>23.85</v>
      </c>
      <c r="AW29" s="166">
        <v>21.18</v>
      </c>
      <c r="AX29" s="169">
        <v>21.55</v>
      </c>
      <c r="AY29" s="186">
        <v>42.91</v>
      </c>
      <c r="AZ29" s="166">
        <v>38.380000000000003</v>
      </c>
      <c r="BA29" s="166">
        <v>31.32</v>
      </c>
      <c r="BB29" s="166">
        <v>28.27</v>
      </c>
      <c r="BC29" s="166">
        <v>23.37</v>
      </c>
      <c r="BD29" s="169">
        <v>23.83</v>
      </c>
    </row>
    <row r="30" spans="2:56" ht="13.8" x14ac:dyDescent="0.3">
      <c r="B30" s="90" t="s">
        <v>293</v>
      </c>
      <c r="C30" s="95" t="s">
        <v>61</v>
      </c>
      <c r="D30" s="91">
        <f>IF(Table1[[#This Row],[2022 Value known?]]="No",6,0)</f>
        <v>6</v>
      </c>
      <c r="E30" s="83">
        <f>25</f>
        <v>25</v>
      </c>
      <c r="F30" s="96" t="s">
        <v>61</v>
      </c>
      <c r="G30" s="85">
        <f>IF(Table1[[#This Row],[2025 Value known?]]="No",6,0)</f>
        <v>6</v>
      </c>
      <c r="H30" s="83">
        <v>25</v>
      </c>
      <c r="I30" s="84" t="s">
        <v>61</v>
      </c>
      <c r="J30" s="135">
        <v>6</v>
      </c>
      <c r="K30" s="134">
        <v>25</v>
      </c>
      <c r="L30" s="40"/>
      <c r="M30" s="40"/>
      <c r="N30" s="40"/>
      <c r="O30" s="40"/>
      <c r="P30" s="40"/>
      <c r="Q30" s="40"/>
      <c r="R30" s="180" t="s">
        <v>247</v>
      </c>
      <c r="S30" s="173">
        <v>0.16</v>
      </c>
      <c r="T30" s="152">
        <v>0.16</v>
      </c>
      <c r="U30" s="152">
        <v>0.41</v>
      </c>
      <c r="V30" s="152">
        <v>0.44</v>
      </c>
      <c r="W30" s="152">
        <v>0.71</v>
      </c>
      <c r="X30" s="154">
        <v>0.75</v>
      </c>
      <c r="Y30" s="173">
        <v>0.16</v>
      </c>
      <c r="Z30" s="152">
        <v>0.16</v>
      </c>
      <c r="AA30" s="152">
        <v>0.41</v>
      </c>
      <c r="AB30" s="152">
        <v>0.44</v>
      </c>
      <c r="AC30" s="152">
        <v>0.71</v>
      </c>
      <c r="AD30" s="154">
        <v>0.75</v>
      </c>
      <c r="AE30" s="175">
        <v>0.34</v>
      </c>
      <c r="AF30" s="152">
        <v>0.37</v>
      </c>
      <c r="AG30" s="152">
        <v>0.8</v>
      </c>
      <c r="AH30" s="152">
        <v>0.85</v>
      </c>
      <c r="AI30" s="152">
        <v>1.2</v>
      </c>
      <c r="AJ30" s="154">
        <v>1.26</v>
      </c>
      <c r="AK30" s="40"/>
      <c r="AL30" s="180" t="s">
        <v>247</v>
      </c>
      <c r="AM30" s="188">
        <v>228.65</v>
      </c>
      <c r="AN30" s="166">
        <v>227.66</v>
      </c>
      <c r="AO30" s="166">
        <v>141.9</v>
      </c>
      <c r="AP30" s="166">
        <v>147.63</v>
      </c>
      <c r="AQ30" s="166">
        <v>138.11000000000001</v>
      </c>
      <c r="AR30" s="169">
        <v>147.41</v>
      </c>
      <c r="AS30" s="188">
        <v>228.65</v>
      </c>
      <c r="AT30" s="166">
        <v>227.66</v>
      </c>
      <c r="AU30" s="166">
        <v>141.9</v>
      </c>
      <c r="AV30" s="166">
        <v>147.63</v>
      </c>
      <c r="AW30" s="166">
        <v>138.11000000000001</v>
      </c>
      <c r="AX30" s="169">
        <v>147.41</v>
      </c>
      <c r="AY30" s="186">
        <v>268.72000000000003</v>
      </c>
      <c r="AZ30" s="166">
        <v>287.23</v>
      </c>
      <c r="BA30" s="166">
        <v>175.37</v>
      </c>
      <c r="BB30" s="166">
        <v>195.03</v>
      </c>
      <c r="BC30" s="166">
        <v>148.53</v>
      </c>
      <c r="BD30" s="169">
        <v>160.54</v>
      </c>
    </row>
    <row r="31" spans="2:56" ht="13.8" x14ac:dyDescent="0.3">
      <c r="B31" s="90" t="s">
        <v>294</v>
      </c>
      <c r="C31" s="95" t="s">
        <v>13</v>
      </c>
      <c r="D31" s="91">
        <v>0.89</v>
      </c>
      <c r="E31" s="83">
        <f>25</f>
        <v>25</v>
      </c>
      <c r="F31" s="96" t="s">
        <v>13</v>
      </c>
      <c r="G31" s="85">
        <v>0.89</v>
      </c>
      <c r="H31" s="83">
        <v>25</v>
      </c>
      <c r="I31" s="84" t="s">
        <v>13</v>
      </c>
      <c r="J31" s="135">
        <f>Table1[[#This Row],[Post 2025 TP Discharge level (mg/l)]]</f>
        <v>0.89</v>
      </c>
      <c r="K31" s="134">
        <f>Table1[[#This Row],[Post 2025 TN Discharge level (mg/l)]]</f>
        <v>25</v>
      </c>
      <c r="L31" s="40"/>
      <c r="M31" s="40"/>
      <c r="N31" s="40"/>
      <c r="O31" s="40"/>
      <c r="P31" s="40"/>
      <c r="Q31" s="40"/>
      <c r="R31" s="180" t="s">
        <v>381</v>
      </c>
      <c r="S31" s="173">
        <v>0.08</v>
      </c>
      <c r="T31" s="152">
        <v>0.08</v>
      </c>
      <c r="U31" s="152">
        <v>0.38</v>
      </c>
      <c r="V31" s="152">
        <v>0.42</v>
      </c>
      <c r="W31" s="152">
        <v>0.62</v>
      </c>
      <c r="X31" s="154">
        <v>0.68</v>
      </c>
      <c r="Y31" s="173">
        <v>0.08</v>
      </c>
      <c r="Z31" s="152">
        <v>0.08</v>
      </c>
      <c r="AA31" s="152">
        <v>0.38</v>
      </c>
      <c r="AB31" s="152">
        <v>0.42</v>
      </c>
      <c r="AC31" s="152">
        <v>0.62</v>
      </c>
      <c r="AD31" s="154">
        <v>0.68</v>
      </c>
      <c r="AE31" s="175">
        <v>0.21</v>
      </c>
      <c r="AF31" s="152">
        <v>0.23</v>
      </c>
      <c r="AG31" s="152">
        <v>0.77</v>
      </c>
      <c r="AH31" s="152">
        <v>0.82</v>
      </c>
      <c r="AI31" s="152">
        <v>1.06</v>
      </c>
      <c r="AJ31" s="154">
        <v>1.1200000000000001</v>
      </c>
      <c r="AK31" s="40"/>
      <c r="AL31" s="180" t="s">
        <v>381</v>
      </c>
      <c r="AM31" s="188">
        <v>89.8</v>
      </c>
      <c r="AN31" s="166">
        <v>89.51</v>
      </c>
      <c r="AO31" s="166">
        <v>57.34</v>
      </c>
      <c r="AP31" s="166">
        <v>82.66</v>
      </c>
      <c r="AQ31" s="166">
        <v>74.680000000000007</v>
      </c>
      <c r="AR31" s="169">
        <v>79.38</v>
      </c>
      <c r="AS31" s="188">
        <v>89.8</v>
      </c>
      <c r="AT31" s="166">
        <v>89.51</v>
      </c>
      <c r="AU31" s="166">
        <v>57.34</v>
      </c>
      <c r="AV31" s="166">
        <v>82.66</v>
      </c>
      <c r="AW31" s="166">
        <v>74.680000000000007</v>
      </c>
      <c r="AX31" s="169">
        <v>79.38</v>
      </c>
      <c r="AY31" s="186">
        <v>105.49</v>
      </c>
      <c r="AZ31" s="166">
        <v>147.9</v>
      </c>
      <c r="BA31" s="166">
        <v>97.81</v>
      </c>
      <c r="BB31" s="166">
        <v>101.8</v>
      </c>
      <c r="BC31" s="166">
        <v>80.36</v>
      </c>
      <c r="BD31" s="169">
        <v>86.47</v>
      </c>
    </row>
    <row r="32" spans="2:56" ht="13.8" x14ac:dyDescent="0.3">
      <c r="B32" s="90" t="s">
        <v>295</v>
      </c>
      <c r="C32" s="95" t="s">
        <v>61</v>
      </c>
      <c r="D32" s="91">
        <f>IF(Table1[[#This Row],[2022 Value known?]]="No",6,0)</f>
        <v>6</v>
      </c>
      <c r="E32" s="83">
        <f>25</f>
        <v>25</v>
      </c>
      <c r="F32" s="96" t="s">
        <v>61</v>
      </c>
      <c r="G32" s="85">
        <f>IF(Table1[[#This Row],[2025 Value known?]]="No",6,0)</f>
        <v>6</v>
      </c>
      <c r="H32" s="83">
        <v>25</v>
      </c>
      <c r="I32" s="84" t="s">
        <v>61</v>
      </c>
      <c r="J32" s="135">
        <v>6</v>
      </c>
      <c r="K32" s="134">
        <v>25</v>
      </c>
      <c r="L32" s="40"/>
      <c r="M32" s="40"/>
      <c r="N32" s="40"/>
      <c r="O32" s="40"/>
      <c r="P32" s="40"/>
      <c r="Q32" s="40"/>
      <c r="R32" s="180" t="s">
        <v>22</v>
      </c>
      <c r="S32" s="173">
        <v>0.05</v>
      </c>
      <c r="T32" s="152">
        <v>0.05</v>
      </c>
      <c r="U32" s="152">
        <v>0.33</v>
      </c>
      <c r="V32" s="152">
        <v>0.33</v>
      </c>
      <c r="W32" s="152">
        <v>0.53</v>
      </c>
      <c r="X32" s="154">
        <v>0.53</v>
      </c>
      <c r="Y32" s="173">
        <v>0.05</v>
      </c>
      <c r="Z32" s="152">
        <v>0.05</v>
      </c>
      <c r="AA32" s="152">
        <v>0.33</v>
      </c>
      <c r="AB32" s="152">
        <v>0.33</v>
      </c>
      <c r="AC32" s="152">
        <v>0.53</v>
      </c>
      <c r="AD32" s="154">
        <v>0.53</v>
      </c>
      <c r="AE32" s="175">
        <v>0.16</v>
      </c>
      <c r="AF32" s="152">
        <v>0.15</v>
      </c>
      <c r="AG32" s="152">
        <v>0.66</v>
      </c>
      <c r="AH32" s="152">
        <v>0.66</v>
      </c>
      <c r="AI32" s="152">
        <v>0.96</v>
      </c>
      <c r="AJ32" s="154">
        <v>0.92</v>
      </c>
      <c r="AK32" s="40"/>
      <c r="AL32" s="180" t="s">
        <v>22</v>
      </c>
      <c r="AM32" s="188">
        <v>22.63</v>
      </c>
      <c r="AN32" s="166">
        <v>22.69</v>
      </c>
      <c r="AO32" s="166">
        <v>15.78</v>
      </c>
      <c r="AP32" s="166">
        <v>15.82</v>
      </c>
      <c r="AQ32" s="166">
        <v>15.97</v>
      </c>
      <c r="AR32" s="169">
        <v>16</v>
      </c>
      <c r="AS32" s="188">
        <v>22.63</v>
      </c>
      <c r="AT32" s="166">
        <v>22.69</v>
      </c>
      <c r="AU32" s="166">
        <v>15.78</v>
      </c>
      <c r="AV32" s="166">
        <v>15.82</v>
      </c>
      <c r="AW32" s="166">
        <v>15.97</v>
      </c>
      <c r="AX32" s="169">
        <v>16</v>
      </c>
      <c r="AY32" s="186">
        <v>26.79</v>
      </c>
      <c r="AZ32" s="166">
        <v>26.19</v>
      </c>
      <c r="BA32" s="166">
        <v>19.079999999999998</v>
      </c>
      <c r="BB32" s="166">
        <v>19.13</v>
      </c>
      <c r="BC32" s="166">
        <v>17.34</v>
      </c>
      <c r="BD32" s="169">
        <v>17.149999999999999</v>
      </c>
    </row>
    <row r="33" spans="2:56" ht="13.8" x14ac:dyDescent="0.3">
      <c r="B33" s="90" t="s">
        <v>296</v>
      </c>
      <c r="C33" s="95" t="s">
        <v>61</v>
      </c>
      <c r="D33" s="91">
        <f>IF(Table1[[#This Row],[2022 Value known?]]="No",6,0)</f>
        <v>6</v>
      </c>
      <c r="E33" s="83">
        <f>25</f>
        <v>25</v>
      </c>
      <c r="F33" s="96" t="s">
        <v>61</v>
      </c>
      <c r="G33" s="85">
        <f>IF(Table1[[#This Row],[2025 Value known?]]="No",6,0)</f>
        <v>6</v>
      </c>
      <c r="H33" s="83">
        <v>25</v>
      </c>
      <c r="I33" s="84" t="s">
        <v>61</v>
      </c>
      <c r="J33" s="135">
        <v>6</v>
      </c>
      <c r="K33" s="134">
        <v>25</v>
      </c>
      <c r="L33" s="40"/>
      <c r="M33" s="40"/>
      <c r="N33" s="40"/>
      <c r="O33" s="40"/>
      <c r="P33" s="40"/>
      <c r="Q33" s="40"/>
      <c r="R33" s="180" t="s">
        <v>380</v>
      </c>
      <c r="S33" s="173">
        <v>0.06</v>
      </c>
      <c r="T33" s="152">
        <v>0.06</v>
      </c>
      <c r="U33" s="152">
        <v>0.36</v>
      </c>
      <c r="V33" s="152">
        <v>0.36</v>
      </c>
      <c r="W33" s="152">
        <v>0.56000000000000005</v>
      </c>
      <c r="X33" s="154">
        <v>0.56000000000000005</v>
      </c>
      <c r="Y33" s="173">
        <v>0.06</v>
      </c>
      <c r="Z33" s="152">
        <v>0.06</v>
      </c>
      <c r="AA33" s="152">
        <v>0.36</v>
      </c>
      <c r="AB33" s="152">
        <v>0.36</v>
      </c>
      <c r="AC33" s="152">
        <v>0.56000000000000005</v>
      </c>
      <c r="AD33" s="154">
        <v>0.56000000000000005</v>
      </c>
      <c r="AE33" s="175">
        <v>0.18</v>
      </c>
      <c r="AF33" s="152">
        <v>0.18</v>
      </c>
      <c r="AG33" s="152">
        <v>0.77</v>
      </c>
      <c r="AH33" s="152">
        <v>0.74</v>
      </c>
      <c r="AI33" s="152">
        <v>1.04</v>
      </c>
      <c r="AJ33" s="154">
        <v>0.99</v>
      </c>
      <c r="AK33" s="40"/>
      <c r="AL33" s="180" t="s">
        <v>380</v>
      </c>
      <c r="AM33" s="188">
        <v>25.75</v>
      </c>
      <c r="AN33" s="166">
        <v>25.83</v>
      </c>
      <c r="AO33" s="166">
        <v>18.7</v>
      </c>
      <c r="AP33" s="166">
        <v>18.75</v>
      </c>
      <c r="AQ33" s="166">
        <v>20.45</v>
      </c>
      <c r="AR33" s="169">
        <v>20.51</v>
      </c>
      <c r="AS33" s="188">
        <v>25.75</v>
      </c>
      <c r="AT33" s="166">
        <v>25.83</v>
      </c>
      <c r="AU33" s="166">
        <v>18.7</v>
      </c>
      <c r="AV33" s="166">
        <v>18.75</v>
      </c>
      <c r="AW33" s="166">
        <v>20.45</v>
      </c>
      <c r="AX33" s="169">
        <v>20.51</v>
      </c>
      <c r="AY33" s="186">
        <v>30.7</v>
      </c>
      <c r="AZ33" s="166">
        <v>31.51</v>
      </c>
      <c r="BA33" s="166">
        <v>23.29</v>
      </c>
      <c r="BB33" s="166">
        <v>24.03</v>
      </c>
      <c r="BC33" s="166">
        <v>21.57</v>
      </c>
      <c r="BD33" s="169">
        <v>22.42</v>
      </c>
    </row>
    <row r="34" spans="2:56" ht="13.8" x14ac:dyDescent="0.3">
      <c r="B34" s="90" t="s">
        <v>297</v>
      </c>
      <c r="C34" s="95" t="s">
        <v>61</v>
      </c>
      <c r="D34" s="91">
        <f>IF(Table1[[#This Row],[2022 Value known?]]="No",6,0)</f>
        <v>6</v>
      </c>
      <c r="E34" s="83">
        <f>25</f>
        <v>25</v>
      </c>
      <c r="F34" s="96" t="s">
        <v>61</v>
      </c>
      <c r="G34" s="85">
        <f>IF(Table1[[#This Row],[2025 Value known?]]="No",6,0)</f>
        <v>6</v>
      </c>
      <c r="H34" s="83">
        <v>25</v>
      </c>
      <c r="I34" s="84" t="s">
        <v>61</v>
      </c>
      <c r="J34" s="135">
        <v>6</v>
      </c>
      <c r="K34" s="134">
        <v>25</v>
      </c>
      <c r="L34" s="40"/>
      <c r="M34" s="40"/>
      <c r="N34" s="40"/>
      <c r="O34" s="40"/>
      <c r="P34" s="40"/>
      <c r="Q34" s="40"/>
      <c r="R34" s="180" t="s">
        <v>90</v>
      </c>
      <c r="S34" s="173">
        <v>0.05</v>
      </c>
      <c r="T34" s="152">
        <v>0.05</v>
      </c>
      <c r="U34" s="152">
        <v>0.32</v>
      </c>
      <c r="V34" s="152">
        <v>0.32</v>
      </c>
      <c r="W34" s="152">
        <v>0.5</v>
      </c>
      <c r="X34" s="154">
        <v>0.5</v>
      </c>
      <c r="Y34" s="173">
        <v>0.05</v>
      </c>
      <c r="Z34" s="152">
        <v>0.05</v>
      </c>
      <c r="AA34" s="152">
        <v>0.32</v>
      </c>
      <c r="AB34" s="152">
        <v>0.32</v>
      </c>
      <c r="AC34" s="152">
        <v>0.5</v>
      </c>
      <c r="AD34" s="154">
        <v>0.5</v>
      </c>
      <c r="AE34" s="175">
        <v>0.15</v>
      </c>
      <c r="AF34" s="152">
        <v>0.15</v>
      </c>
      <c r="AG34" s="152">
        <v>0.65</v>
      </c>
      <c r="AH34" s="152">
        <v>0.62</v>
      </c>
      <c r="AI34" s="152">
        <v>0.91</v>
      </c>
      <c r="AJ34" s="154">
        <v>0.86</v>
      </c>
      <c r="AK34" s="40"/>
      <c r="AL34" s="180" t="s">
        <v>90</v>
      </c>
      <c r="AM34" s="188">
        <v>27.73</v>
      </c>
      <c r="AN34" s="166">
        <v>2.8</v>
      </c>
      <c r="AO34" s="166">
        <v>19.36</v>
      </c>
      <c r="AP34" s="166">
        <v>19.399999999999999</v>
      </c>
      <c r="AQ34" s="166">
        <v>19.12</v>
      </c>
      <c r="AR34" s="169">
        <v>19.170000000000002</v>
      </c>
      <c r="AS34" s="188">
        <v>27.73</v>
      </c>
      <c r="AT34" s="166">
        <v>2.8</v>
      </c>
      <c r="AU34" s="166">
        <v>19.36</v>
      </c>
      <c r="AV34" s="166">
        <v>19.399999999999999</v>
      </c>
      <c r="AW34" s="166">
        <v>19.12</v>
      </c>
      <c r="AX34" s="169">
        <v>19.170000000000002</v>
      </c>
      <c r="AY34" s="186">
        <v>32.9</v>
      </c>
      <c r="AZ34" s="166">
        <v>31.25</v>
      </c>
      <c r="BA34" s="166">
        <v>23.83</v>
      </c>
      <c r="BB34" s="166">
        <v>22.76</v>
      </c>
      <c r="BC34" s="166">
        <v>21.38</v>
      </c>
      <c r="BD34" s="169">
        <v>20.53</v>
      </c>
    </row>
    <row r="35" spans="2:56" ht="14.4" thickBot="1" x14ac:dyDescent="0.35">
      <c r="B35" s="90" t="s">
        <v>298</v>
      </c>
      <c r="C35" s="95" t="s">
        <v>61</v>
      </c>
      <c r="D35" s="91">
        <f>IF(Table1[[#This Row],[2022 Value known?]]="No",6,0)</f>
        <v>6</v>
      </c>
      <c r="E35" s="83">
        <f>25</f>
        <v>25</v>
      </c>
      <c r="F35" s="96" t="s">
        <v>61</v>
      </c>
      <c r="G35" s="85">
        <f>IF(Table1[[#This Row],[2025 Value known?]]="No",6,0)</f>
        <v>6</v>
      </c>
      <c r="H35" s="83">
        <v>25</v>
      </c>
      <c r="I35" s="84" t="s">
        <v>61</v>
      </c>
      <c r="J35" s="135">
        <v>6</v>
      </c>
      <c r="K35" s="134">
        <v>25</v>
      </c>
      <c r="L35" s="40"/>
      <c r="M35" s="40"/>
      <c r="N35" s="40"/>
      <c r="O35" s="40"/>
      <c r="P35" s="40"/>
      <c r="Q35" s="40"/>
      <c r="R35" s="181" t="s">
        <v>569</v>
      </c>
      <c r="S35" s="155">
        <v>0.05</v>
      </c>
      <c r="T35" s="156">
        <v>0.05</v>
      </c>
      <c r="U35" s="156">
        <v>0.05</v>
      </c>
      <c r="V35" s="156">
        <v>0.05</v>
      </c>
      <c r="W35" s="156">
        <v>0.05</v>
      </c>
      <c r="X35" s="157">
        <v>0.05</v>
      </c>
      <c r="Y35" s="155">
        <v>0.05</v>
      </c>
      <c r="Z35" s="156">
        <v>0.05</v>
      </c>
      <c r="AA35" s="156">
        <v>0.05</v>
      </c>
      <c r="AB35" s="156">
        <v>0.05</v>
      </c>
      <c r="AC35" s="156">
        <v>0.05</v>
      </c>
      <c r="AD35" s="157">
        <v>0.05</v>
      </c>
      <c r="AE35" s="176">
        <v>0.62</v>
      </c>
      <c r="AF35" s="156">
        <v>0.62</v>
      </c>
      <c r="AG35" s="156">
        <v>0.62</v>
      </c>
      <c r="AH35" s="156">
        <v>0.62</v>
      </c>
      <c r="AI35" s="156">
        <v>0.62</v>
      </c>
      <c r="AJ35" s="157">
        <v>0.62</v>
      </c>
      <c r="AK35" s="40"/>
      <c r="AL35" s="181" t="s">
        <v>569</v>
      </c>
      <c r="AM35" s="155">
        <v>27.8</v>
      </c>
      <c r="AN35" s="156">
        <v>27.8</v>
      </c>
      <c r="AO35" s="156">
        <v>27.8</v>
      </c>
      <c r="AP35" s="156">
        <v>27.8</v>
      </c>
      <c r="AQ35" s="156">
        <v>27.8</v>
      </c>
      <c r="AR35" s="157">
        <v>27.8</v>
      </c>
      <c r="AS35" s="155">
        <v>27.8</v>
      </c>
      <c r="AT35" s="156">
        <v>27.8</v>
      </c>
      <c r="AU35" s="156">
        <v>27.8</v>
      </c>
      <c r="AV35" s="156">
        <v>27.8</v>
      </c>
      <c r="AW35" s="156">
        <v>27.8</v>
      </c>
      <c r="AX35" s="157">
        <v>27.8</v>
      </c>
      <c r="AY35" s="189">
        <v>26.19</v>
      </c>
      <c r="AZ35" s="170">
        <v>26.19</v>
      </c>
      <c r="BA35" s="170">
        <v>26.19</v>
      </c>
      <c r="BB35" s="170">
        <v>26.19</v>
      </c>
      <c r="BC35" s="170">
        <v>26.19</v>
      </c>
      <c r="BD35" s="171">
        <v>26.19</v>
      </c>
    </row>
    <row r="36" spans="2:56" ht="14.4" thickBot="1" x14ac:dyDescent="0.35">
      <c r="B36" s="90" t="s">
        <v>299</v>
      </c>
      <c r="C36" s="95" t="s">
        <v>61</v>
      </c>
      <c r="D36" s="91">
        <f>IF(Table1[[#This Row],[2022 Value known?]]="No",6,0)</f>
        <v>6</v>
      </c>
      <c r="E36" s="83">
        <f>25</f>
        <v>25</v>
      </c>
      <c r="F36" s="96" t="s">
        <v>61</v>
      </c>
      <c r="G36" s="85">
        <f>IF(Table1[[#This Row],[2025 Value known?]]="No",6,0)</f>
        <v>6</v>
      </c>
      <c r="H36" s="83">
        <v>25</v>
      </c>
      <c r="I36" s="84" t="s">
        <v>61</v>
      </c>
      <c r="J36" s="135">
        <v>6</v>
      </c>
      <c r="K36" s="134">
        <v>25</v>
      </c>
      <c r="L36" s="40"/>
      <c r="M36" s="40"/>
      <c r="N36" s="40"/>
      <c r="O36" s="40"/>
      <c r="P36" s="40"/>
      <c r="AH36" s="40"/>
      <c r="AI36" s="40"/>
      <c r="AJ36" s="40"/>
      <c r="AK36" s="40"/>
      <c r="AL36" s="40"/>
      <c r="AM36" s="40"/>
      <c r="AN36" s="40"/>
      <c r="AO36" s="40"/>
      <c r="AP36" s="40"/>
      <c r="AQ36" s="40"/>
      <c r="AR36" s="40"/>
    </row>
    <row r="37" spans="2:56" ht="27.6" customHeight="1" x14ac:dyDescent="0.3">
      <c r="B37" s="90" t="s">
        <v>300</v>
      </c>
      <c r="C37" s="95" t="s">
        <v>61</v>
      </c>
      <c r="D37" s="91">
        <f>IF(Table1[[#This Row],[2022 Value known?]]="No",6,0)</f>
        <v>6</v>
      </c>
      <c r="E37" s="83">
        <f>25</f>
        <v>25</v>
      </c>
      <c r="F37" s="96" t="s">
        <v>61</v>
      </c>
      <c r="G37" s="85">
        <f>IF(Table1[[#This Row],[2025 Value known?]]="No",6,0)</f>
        <v>6</v>
      </c>
      <c r="H37" s="83">
        <v>25</v>
      </c>
      <c r="I37" s="84" t="s">
        <v>61</v>
      </c>
      <c r="J37" s="135">
        <v>6</v>
      </c>
      <c r="K37" s="134">
        <v>25</v>
      </c>
      <c r="L37" s="40"/>
      <c r="M37" s="40"/>
      <c r="N37" s="40"/>
      <c r="O37" s="40"/>
      <c r="P37" s="40"/>
      <c r="R37" s="40"/>
      <c r="Y37" s="40"/>
      <c r="Z37" s="118" t="s">
        <v>463</v>
      </c>
      <c r="AA37" s="122" t="s">
        <v>464</v>
      </c>
      <c r="AB37" s="122" t="s">
        <v>465</v>
      </c>
      <c r="AC37" s="486" t="s">
        <v>559</v>
      </c>
      <c r="AD37" s="487"/>
      <c r="AE37" s="486" t="s">
        <v>560</v>
      </c>
      <c r="AF37" s="487"/>
      <c r="AG37" s="486" t="s">
        <v>561</v>
      </c>
      <c r="AH37" s="487"/>
      <c r="AI37" s="486" t="s">
        <v>467</v>
      </c>
      <c r="AJ37" s="487"/>
      <c r="AK37" s="486" t="s">
        <v>440</v>
      </c>
      <c r="AL37" s="488"/>
      <c r="AM37" s="40"/>
      <c r="AN37" s="40"/>
      <c r="AO37" s="40"/>
      <c r="AP37" s="40"/>
      <c r="AQ37" s="40"/>
      <c r="AR37" s="40"/>
    </row>
    <row r="38" spans="2:56" ht="13.8" x14ac:dyDescent="0.3">
      <c r="B38" s="90" t="s">
        <v>301</v>
      </c>
      <c r="C38" s="95" t="s">
        <v>61</v>
      </c>
      <c r="D38" s="91">
        <f>IF(Table1[[#This Row],[2022 Value known?]]="No",6,0)</f>
        <v>6</v>
      </c>
      <c r="E38" s="83">
        <f>25</f>
        <v>25</v>
      </c>
      <c r="F38" s="96" t="s">
        <v>61</v>
      </c>
      <c r="G38" s="85">
        <f>IF(Table1[[#This Row],[2025 Value known?]]="No",6,0)</f>
        <v>6</v>
      </c>
      <c r="H38" s="83">
        <v>25</v>
      </c>
      <c r="I38" s="84" t="s">
        <v>61</v>
      </c>
      <c r="J38" s="135">
        <v>6</v>
      </c>
      <c r="K38" s="134">
        <v>25</v>
      </c>
      <c r="L38" s="40"/>
      <c r="M38" s="40"/>
      <c r="N38" s="40"/>
      <c r="O38" s="40"/>
      <c r="P38" s="40"/>
      <c r="R38" s="40"/>
      <c r="Y38" s="40"/>
      <c r="Z38" s="119"/>
      <c r="AA38" s="99"/>
      <c r="AB38" s="99"/>
      <c r="AC38" s="99" t="s">
        <v>429</v>
      </c>
      <c r="AD38" s="99" t="s">
        <v>430</v>
      </c>
      <c r="AE38" s="99" t="s">
        <v>429</v>
      </c>
      <c r="AF38" s="99" t="s">
        <v>430</v>
      </c>
      <c r="AG38" s="99" t="s">
        <v>429</v>
      </c>
      <c r="AH38" s="99" t="s">
        <v>430</v>
      </c>
      <c r="AI38" s="99" t="s">
        <v>429</v>
      </c>
      <c r="AJ38" s="99" t="s">
        <v>430</v>
      </c>
      <c r="AK38" s="99" t="s">
        <v>429</v>
      </c>
      <c r="AL38" s="117" t="s">
        <v>430</v>
      </c>
      <c r="AM38" s="40"/>
      <c r="AN38" s="40"/>
      <c r="AO38" s="40"/>
      <c r="AP38" s="40"/>
      <c r="AQ38" s="40"/>
      <c r="AR38" s="40"/>
    </row>
    <row r="39" spans="2:56" ht="13.8" x14ac:dyDescent="0.3">
      <c r="B39" s="90" t="s">
        <v>302</v>
      </c>
      <c r="C39" s="95" t="s">
        <v>61</v>
      </c>
      <c r="D39" s="91">
        <f>IF(Table1[[#This Row],[2022 Value known?]]="No",6,0)</f>
        <v>6</v>
      </c>
      <c r="E39" s="83">
        <f>25</f>
        <v>25</v>
      </c>
      <c r="F39" s="96" t="s">
        <v>61</v>
      </c>
      <c r="G39" s="85">
        <f>IF(Table1[[#This Row],[2025 Value known?]]="No",6,0)</f>
        <v>6</v>
      </c>
      <c r="H39" s="83">
        <v>25</v>
      </c>
      <c r="I39" s="84" t="s">
        <v>61</v>
      </c>
      <c r="J39" s="135">
        <v>6</v>
      </c>
      <c r="K39" s="134">
        <v>25</v>
      </c>
      <c r="L39" s="40"/>
      <c r="M39" s="40"/>
      <c r="N39" s="40"/>
      <c r="O39" s="40"/>
      <c r="P39" s="40"/>
      <c r="R39" s="40"/>
      <c r="Y39" s="40"/>
      <c r="Z39" s="120" t="s">
        <v>468</v>
      </c>
      <c r="AA39" s="123">
        <v>562.54999999999995</v>
      </c>
      <c r="AB39" s="125">
        <f>(-129.5+(0.424*AA39)-((2.28*0.0001)*(AA39*AA39))-((4.56*0.00000001)*(AA39*AA39*AA39)))</f>
        <v>28.749764706369277</v>
      </c>
      <c r="AC39" s="125">
        <f t="shared" ref="AC39:AC48" si="2">((((0.829*$AB$51)+(0.078*AB39)-20.7)/100)*AA39)*($AC$51*0.01)</f>
        <v>0.74063687402354628</v>
      </c>
      <c r="AD39" s="125">
        <f t="shared" ref="AD39:AD48" si="3">((((0.829*$AB$56)+(0.078*AB39)-20.7)/100)*AA39)*($AC$56*0.01)</f>
        <v>7.8065470051636776</v>
      </c>
      <c r="AE39" s="125">
        <f t="shared" ref="AE39:AE48" si="4">((((0.829*$AB$52)+(0.078*AB39)-20.7)/100)*AA39)*($AC$52*0.01)</f>
        <v>0.30086509917354659</v>
      </c>
      <c r="AF39" s="125">
        <f t="shared" ref="AF39:AF48" si="5">((((0.829*$AB$57)+(0.078*AB39)-20.7)/100)*AA39)*($AC$57*0.01)</f>
        <v>4.7495968629136778</v>
      </c>
      <c r="AG39" s="125">
        <f t="shared" ref="AG39:AG48" si="6">((((0.829*$AB$53)+(0.078*AB39)-20.7)/100)*AA39)*($AC$53*0.01)</f>
        <v>0.14790100357354649</v>
      </c>
      <c r="AH39" s="125">
        <f t="shared" ref="AH39:AH48" si="7">((((0.829*$AB$58)+(0.078*AB39)-20.7)/100)*AA39)*($AC$58*0.01)</f>
        <v>3.6863098569136761</v>
      </c>
      <c r="AI39" s="125">
        <f t="shared" ref="AI39:AI48" si="8">((((0.829*$AB$54)+(0.078*AB39)-20.7)/100)*AA39)*($AC$54*0.01)</f>
        <v>0.86371364551722929</v>
      </c>
      <c r="AJ39" s="125">
        <f t="shared" ref="AJ39:AJ48" si="9">((((0.829*$AB$59)+(0.078*AB39)-20.7)/100)*AA39)*($AC$59*0.01)</f>
        <v>5.510321943687293</v>
      </c>
      <c r="AK39" s="125">
        <f t="shared" ref="AK39:AK48" si="10">((((0.829*$AB$55)+(0.078*AB39)-20.7)/100)*AA39)*($AC$55*0.01)</f>
        <v>-2.7167810873652593E-3</v>
      </c>
      <c r="AL39" s="115">
        <f t="shared" ref="AL39:AL48" si="11">((((0.829*$AB$60)+(0.078*AB39)-20.7)/100)*AA39)*($AC$60*0.01)</f>
        <v>1.546202943696483</v>
      </c>
      <c r="AM39" s="40"/>
      <c r="AN39" s="40"/>
      <c r="AO39" s="40"/>
      <c r="AP39" s="40"/>
      <c r="AQ39" s="40"/>
      <c r="AR39" s="40"/>
    </row>
    <row r="40" spans="2:56" ht="13.8" x14ac:dyDescent="0.3">
      <c r="B40" s="90" t="s">
        <v>303</v>
      </c>
      <c r="C40" s="95" t="s">
        <v>61</v>
      </c>
      <c r="D40" s="91">
        <f>IF(Table1[[#This Row],[2022 Value known?]]="No",6,0)</f>
        <v>6</v>
      </c>
      <c r="E40" s="83">
        <f>25</f>
        <v>25</v>
      </c>
      <c r="F40" s="96" t="s">
        <v>61</v>
      </c>
      <c r="G40" s="85">
        <f>IF(Table1[[#This Row],[2025 Value known?]]="No",6,0)</f>
        <v>6</v>
      </c>
      <c r="H40" s="83">
        <v>25</v>
      </c>
      <c r="I40" s="84" t="s">
        <v>13</v>
      </c>
      <c r="J40" s="135">
        <f t="shared" ref="J40:J58" si="12">0.25*0.9</f>
        <v>0.22500000000000001</v>
      </c>
      <c r="K40" s="134">
        <f t="shared" si="1"/>
        <v>9</v>
      </c>
      <c r="L40" s="40"/>
      <c r="M40" s="40"/>
      <c r="N40" s="40"/>
      <c r="O40" s="40"/>
      <c r="P40" s="40"/>
      <c r="Y40" s="40"/>
      <c r="Z40" s="120" t="s">
        <v>469</v>
      </c>
      <c r="AA40" s="123">
        <v>587.54999999999995</v>
      </c>
      <c r="AB40" s="125">
        <f t="shared" ref="AB40:AB45" si="13">(-129.5+(0.424*AA40)-((2.28*0.0001)*(AA40*AA40))-((4.56*0.00000001)*(AA40*AA40*AA40)))</f>
        <v>31.663082422819311</v>
      </c>
      <c r="AC40" s="125">
        <f t="shared" si="2"/>
        <v>0.77902522270993246</v>
      </c>
      <c r="AD40" s="125">
        <f t="shared" si="3"/>
        <v>8.191525343593435</v>
      </c>
      <c r="AE40" s="125">
        <f t="shared" si="4"/>
        <v>0.31970977285993291</v>
      </c>
      <c r="AF40" s="125">
        <f t="shared" si="5"/>
        <v>4.9987228263434362</v>
      </c>
      <c r="AG40" s="125">
        <f t="shared" si="6"/>
        <v>0.15994787725993279</v>
      </c>
      <c r="AH40" s="125">
        <f t="shared" si="7"/>
        <v>3.888182820343435</v>
      </c>
      <c r="AI40" s="125">
        <f t="shared" si="8"/>
        <v>0.90610293114141427</v>
      </c>
      <c r="AJ40" s="125">
        <f t="shared" si="9"/>
        <v>5.775497524183165</v>
      </c>
      <c r="AK40" s="125">
        <f t="shared" si="10"/>
        <v>9.9795037037148497E-5</v>
      </c>
      <c r="AL40" s="115">
        <f t="shared" si="11"/>
        <v>1.6373473431919194</v>
      </c>
      <c r="AM40" s="40"/>
      <c r="AN40" s="40"/>
      <c r="AO40" s="40"/>
      <c r="AP40" s="40"/>
      <c r="AQ40" s="40"/>
      <c r="AR40" s="40"/>
    </row>
    <row r="41" spans="2:56" ht="13.8" x14ac:dyDescent="0.3">
      <c r="B41" s="90" t="s">
        <v>304</v>
      </c>
      <c r="C41" s="95" t="s">
        <v>61</v>
      </c>
      <c r="D41" s="91">
        <f>IF(Table1[[#This Row],[2022 Value known?]]="No",6,0)</f>
        <v>6</v>
      </c>
      <c r="E41" s="83">
        <f>25</f>
        <v>25</v>
      </c>
      <c r="F41" s="96" t="s">
        <v>61</v>
      </c>
      <c r="G41" s="85">
        <f>IF(Table1[[#This Row],[2025 Value known?]]="No",6,0)</f>
        <v>6</v>
      </c>
      <c r="H41" s="83">
        <v>25</v>
      </c>
      <c r="I41" s="84" t="s">
        <v>61</v>
      </c>
      <c r="J41" s="135">
        <v>6</v>
      </c>
      <c r="K41" s="134">
        <v>25</v>
      </c>
      <c r="L41" s="40"/>
      <c r="M41" s="40"/>
      <c r="N41" s="40"/>
      <c r="O41" s="40"/>
      <c r="P41" s="40"/>
      <c r="Y41" s="40"/>
      <c r="Z41" s="120" t="s">
        <v>470</v>
      </c>
      <c r="AA41" s="123">
        <v>612.54999999999995</v>
      </c>
      <c r="AB41" s="125">
        <f t="shared" si="13"/>
        <v>34.190929089269275</v>
      </c>
      <c r="AC41" s="125">
        <f t="shared" si="2"/>
        <v>0.81712429820639465</v>
      </c>
      <c r="AD41" s="125">
        <f t="shared" si="3"/>
        <v>8.574492880581035</v>
      </c>
      <c r="AE41" s="125">
        <f t="shared" si="4"/>
        <v>0.33826517335639467</v>
      </c>
      <c r="AF41" s="125">
        <f t="shared" si="5"/>
        <v>5.2458379883310373</v>
      </c>
      <c r="AG41" s="125">
        <f t="shared" si="6"/>
        <v>0.17170547775639469</v>
      </c>
      <c r="AH41" s="125">
        <f t="shared" si="7"/>
        <v>4.088044982331037</v>
      </c>
      <c r="AI41" s="125">
        <f t="shared" si="8"/>
        <v>0.94828055345589835</v>
      </c>
      <c r="AJ41" s="125">
        <f t="shared" si="9"/>
        <v>6.039600677243218</v>
      </c>
      <c r="AK41" s="125">
        <f t="shared" si="10"/>
        <v>2.7611514009923208E-3</v>
      </c>
      <c r="AL41" s="115">
        <f t="shared" si="11"/>
        <v>1.7273064281530324</v>
      </c>
      <c r="AM41" s="40"/>
      <c r="AN41" s="40"/>
      <c r="AO41" s="40"/>
      <c r="AP41" s="40"/>
      <c r="AQ41" s="40"/>
      <c r="AR41" s="40"/>
    </row>
    <row r="42" spans="2:56" ht="13.8" x14ac:dyDescent="0.3">
      <c r="B42" s="90" t="s">
        <v>305</v>
      </c>
      <c r="C42" s="95" t="s">
        <v>61</v>
      </c>
      <c r="D42" s="91">
        <f>IF(Table1[[#This Row],[2022 Value known?]]="No",6,0)</f>
        <v>6</v>
      </c>
      <c r="E42" s="83">
        <f>25</f>
        <v>25</v>
      </c>
      <c r="F42" s="96" t="s">
        <v>61</v>
      </c>
      <c r="G42" s="85">
        <f>IF(Table1[[#This Row],[2025 Value known?]]="No",6,0)</f>
        <v>6</v>
      </c>
      <c r="H42" s="83">
        <v>25</v>
      </c>
      <c r="I42" s="84" t="s">
        <v>61</v>
      </c>
      <c r="J42" s="135">
        <v>6</v>
      </c>
      <c r="K42" s="134">
        <v>25</v>
      </c>
      <c r="L42" s="40"/>
      <c r="M42" s="40"/>
      <c r="N42" s="40"/>
      <c r="O42" s="40"/>
      <c r="P42" s="40"/>
      <c r="Y42" s="40"/>
      <c r="Z42" s="120" t="s">
        <v>471</v>
      </c>
      <c r="AA42" s="123">
        <v>637.54999999999995</v>
      </c>
      <c r="AB42" s="125">
        <f t="shared" si="13"/>
        <v>36.329029705719307</v>
      </c>
      <c r="AC42" s="125">
        <f t="shared" si="2"/>
        <v>0.85483292904864216</v>
      </c>
      <c r="AD42" s="125">
        <f t="shared" si="3"/>
        <v>8.9547463510698293</v>
      </c>
      <c r="AE42" s="125">
        <f t="shared" si="4"/>
        <v>0.35643012919864242</v>
      </c>
      <c r="AF42" s="125">
        <f t="shared" si="5"/>
        <v>5.4902390838198327</v>
      </c>
      <c r="AG42" s="125">
        <f t="shared" si="6"/>
        <v>0.18307263359864251</v>
      </c>
      <c r="AH42" s="125">
        <f t="shared" si="7"/>
        <v>4.2851930778198319</v>
      </c>
      <c r="AI42" s="125">
        <f t="shared" si="8"/>
        <v>0.99017248455998208</v>
      </c>
      <c r="AJ42" s="125">
        <f t="shared" si="9"/>
        <v>6.302256328170575</v>
      </c>
      <c r="AK42" s="125">
        <f t="shared" si="10"/>
        <v>5.2130008773204088E-3</v>
      </c>
      <c r="AL42" s="115">
        <f t="shared" si="11"/>
        <v>1.815665642335901</v>
      </c>
      <c r="AM42" s="40"/>
      <c r="AN42" s="40"/>
      <c r="AO42" s="40"/>
      <c r="AP42" s="40"/>
      <c r="AQ42" s="40"/>
      <c r="AR42" s="40"/>
    </row>
    <row r="43" spans="2:56" ht="13.8" x14ac:dyDescent="0.3">
      <c r="B43" s="90" t="s">
        <v>306</v>
      </c>
      <c r="C43" s="95" t="s">
        <v>61</v>
      </c>
      <c r="D43" s="91">
        <f>IF(Table1[[#This Row],[2022 Value known?]]="No",6,0)</f>
        <v>6</v>
      </c>
      <c r="E43" s="83">
        <f>25</f>
        <v>25</v>
      </c>
      <c r="F43" s="96" t="s">
        <v>61</v>
      </c>
      <c r="G43" s="85">
        <f>IF(Table1[[#This Row],[2025 Value known?]]="No",6,0)</f>
        <v>6</v>
      </c>
      <c r="H43" s="83">
        <v>25</v>
      </c>
      <c r="I43" s="84" t="s">
        <v>61</v>
      </c>
      <c r="J43" s="135">
        <v>6</v>
      </c>
      <c r="K43" s="134">
        <v>25</v>
      </c>
      <c r="L43" s="40"/>
      <c r="M43" s="40"/>
      <c r="N43" s="40"/>
      <c r="O43" s="40"/>
      <c r="P43" s="40"/>
      <c r="Y43" s="40"/>
      <c r="Z43" s="120" t="s">
        <v>472</v>
      </c>
      <c r="AA43" s="123">
        <v>662.55</v>
      </c>
      <c r="AB43" s="125">
        <f t="shared" si="13"/>
        <v>38.073109272169319</v>
      </c>
      <c r="AC43" s="125">
        <f t="shared" si="2"/>
        <v>0.89204857662738568</v>
      </c>
      <c r="AD43" s="125">
        <f t="shared" si="3"/>
        <v>9.3315729866781698</v>
      </c>
      <c r="AE43" s="125">
        <f t="shared" si="4"/>
        <v>0.37410210177738579</v>
      </c>
      <c r="AF43" s="125">
        <f t="shared" si="5"/>
        <v>5.7312133444281717</v>
      </c>
      <c r="AG43" s="125">
        <f t="shared" si="6"/>
        <v>0.19394680617738583</v>
      </c>
      <c r="AH43" s="125">
        <f t="shared" si="7"/>
        <v>4.4789143384281704</v>
      </c>
      <c r="AI43" s="125">
        <f t="shared" si="8"/>
        <v>1.0317036962029649</v>
      </c>
      <c r="AJ43" s="125">
        <f t="shared" si="9"/>
        <v>6.5630843338283551</v>
      </c>
      <c r="AK43" s="125">
        <f t="shared" si="10"/>
        <v>7.4003227488412269E-3</v>
      </c>
      <c r="AL43" s="115">
        <f t="shared" si="11"/>
        <v>1.9020048275366057</v>
      </c>
      <c r="AM43" s="40"/>
      <c r="AN43" s="40"/>
      <c r="AO43" s="40"/>
      <c r="AP43" s="40"/>
      <c r="AQ43" s="40"/>
      <c r="AR43" s="40"/>
    </row>
    <row r="44" spans="2:56" ht="13.8" x14ac:dyDescent="0.3">
      <c r="B44" s="90" t="s">
        <v>307</v>
      </c>
      <c r="C44" s="95" t="s">
        <v>61</v>
      </c>
      <c r="D44" s="91">
        <f>IF(Table1[[#This Row],[2022 Value known?]]="No",6,0)</f>
        <v>6</v>
      </c>
      <c r="E44" s="83">
        <f>25</f>
        <v>25</v>
      </c>
      <c r="F44" s="96" t="s">
        <v>61</v>
      </c>
      <c r="G44" s="85">
        <f>IF(Table1[[#This Row],[2025 Value known?]]="No",6,0)</f>
        <v>6</v>
      </c>
      <c r="H44" s="83">
        <v>25</v>
      </c>
      <c r="I44" s="84" t="s">
        <v>61</v>
      </c>
      <c r="J44" s="135">
        <v>6</v>
      </c>
      <c r="K44" s="134">
        <v>25</v>
      </c>
      <c r="L44" s="40"/>
      <c r="M44" s="40"/>
      <c r="N44" s="40"/>
      <c r="O44" s="40"/>
      <c r="P44" s="40"/>
      <c r="Y44" s="40"/>
      <c r="Z44" s="120" t="s">
        <v>473</v>
      </c>
      <c r="AA44" s="123">
        <v>687.55</v>
      </c>
      <c r="AB44" s="125">
        <f t="shared" si="13"/>
        <v>39.418892788619281</v>
      </c>
      <c r="AC44" s="125">
        <f t="shared" si="2"/>
        <v>0.92866733518833489</v>
      </c>
      <c r="AD44" s="125">
        <f t="shared" si="3"/>
        <v>9.7042505156994014</v>
      </c>
      <c r="AE44" s="125">
        <f t="shared" si="4"/>
        <v>0.39117718533833484</v>
      </c>
      <c r="AF44" s="125">
        <f t="shared" si="5"/>
        <v>5.9680384984494017</v>
      </c>
      <c r="AG44" s="125">
        <f t="shared" si="6"/>
        <v>0.20422408973833489</v>
      </c>
      <c r="AH44" s="125">
        <f t="shared" si="7"/>
        <v>4.6684864924494009</v>
      </c>
      <c r="AI44" s="125">
        <f t="shared" si="8"/>
        <v>1.0727981597841474</v>
      </c>
      <c r="AJ44" s="125">
        <f t="shared" si="9"/>
        <v>6.8216994826396791</v>
      </c>
      <c r="AK44" s="125">
        <f t="shared" si="10"/>
        <v>9.2673627083748791E-3</v>
      </c>
      <c r="AL44" s="115">
        <f t="shared" si="11"/>
        <v>1.9858982235912259</v>
      </c>
      <c r="AM44" s="40"/>
      <c r="AN44" s="40"/>
      <c r="AO44" s="40"/>
      <c r="AP44" s="40"/>
      <c r="AQ44" s="40"/>
      <c r="AR44" s="40"/>
    </row>
    <row r="45" spans="2:56" ht="13.8" x14ac:dyDescent="0.3">
      <c r="B45" s="90" t="s">
        <v>308</v>
      </c>
      <c r="C45" s="95" t="s">
        <v>61</v>
      </c>
      <c r="D45" s="91">
        <f>IF(Table1[[#This Row],[2022 Value known?]]="No",6,0)</f>
        <v>6</v>
      </c>
      <c r="E45" s="83">
        <f>25</f>
        <v>25</v>
      </c>
      <c r="F45" s="96" t="s">
        <v>61</v>
      </c>
      <c r="G45" s="85">
        <f>IF(Table1[[#This Row],[2025 Value known?]]="No",6,0)</f>
        <v>6</v>
      </c>
      <c r="H45" s="83">
        <v>25</v>
      </c>
      <c r="I45" s="84" t="s">
        <v>61</v>
      </c>
      <c r="J45" s="135">
        <v>6</v>
      </c>
      <c r="K45" s="134">
        <v>25</v>
      </c>
      <c r="L45" s="40"/>
      <c r="M45" s="40"/>
      <c r="N45" s="40"/>
      <c r="O45" s="40"/>
      <c r="P45" s="40"/>
      <c r="Y45" s="40"/>
      <c r="Z45" s="120" t="s">
        <v>474</v>
      </c>
      <c r="AA45" s="123">
        <v>725.05</v>
      </c>
      <c r="AB45" s="125">
        <f t="shared" si="13"/>
        <v>40.68141140704433</v>
      </c>
      <c r="AC45" s="125">
        <f t="shared" si="2"/>
        <v>0.9822456478254864</v>
      </c>
      <c r="AD45" s="125">
        <f t="shared" si="3"/>
        <v>10.253883877933259</v>
      </c>
      <c r="AE45" s="125">
        <f t="shared" si="4"/>
        <v>0.41543998547548655</v>
      </c>
      <c r="AF45" s="125">
        <f t="shared" si="5"/>
        <v>6.3138932981832596</v>
      </c>
      <c r="AG45" s="125">
        <f t="shared" si="6"/>
        <v>0.2182901898754866</v>
      </c>
      <c r="AH45" s="125">
        <f t="shared" si="7"/>
        <v>4.9434617921832587</v>
      </c>
      <c r="AI45" s="125">
        <f t="shared" si="8"/>
        <v>1.1334521781771849</v>
      </c>
      <c r="AJ45" s="125">
        <f t="shared" si="9"/>
        <v>7.2046179758310709</v>
      </c>
      <c r="AK45" s="125">
        <f t="shared" si="10"/>
        <v>1.1343626196602601E-2</v>
      </c>
      <c r="AL45" s="115">
        <f t="shared" si="11"/>
        <v>2.1062073265922372</v>
      </c>
      <c r="AM45" s="40"/>
      <c r="AN45" s="40"/>
      <c r="AO45" s="40"/>
      <c r="AP45" s="40"/>
      <c r="AQ45" s="40"/>
      <c r="AR45" s="40"/>
    </row>
    <row r="46" spans="2:56" ht="13.8" x14ac:dyDescent="0.3">
      <c r="B46" s="90" t="s">
        <v>309</v>
      </c>
      <c r="C46" s="95" t="s">
        <v>61</v>
      </c>
      <c r="D46" s="91">
        <f>IF(Table1[[#This Row],[2022 Value known?]]="No",6,0)</f>
        <v>6</v>
      </c>
      <c r="E46" s="83">
        <f>25</f>
        <v>25</v>
      </c>
      <c r="F46" s="96" t="s">
        <v>61</v>
      </c>
      <c r="G46" s="85">
        <f>IF(Table1[[#This Row],[2025 Value known?]]="No",6,0)</f>
        <v>6</v>
      </c>
      <c r="H46" s="83">
        <v>25</v>
      </c>
      <c r="I46" s="84" t="s">
        <v>61</v>
      </c>
      <c r="J46" s="135">
        <v>6</v>
      </c>
      <c r="K46" s="134">
        <v>25</v>
      </c>
      <c r="L46" s="40"/>
      <c r="M46" s="40"/>
      <c r="N46" s="40"/>
      <c r="O46" s="40"/>
      <c r="P46" s="40"/>
      <c r="Y46" s="40"/>
      <c r="Z46" s="120" t="s">
        <v>475</v>
      </c>
      <c r="AA46" s="123">
        <v>775.05</v>
      </c>
      <c r="AB46" s="125">
        <v>41</v>
      </c>
      <c r="AC46" s="125">
        <f t="shared" si="2"/>
        <v>1.0507717123499996</v>
      </c>
      <c r="AD46" s="125">
        <f t="shared" si="3"/>
        <v>10.966488594749999</v>
      </c>
      <c r="AE46" s="125">
        <f t="shared" si="4"/>
        <v>0.44487869999999979</v>
      </c>
      <c r="AF46" s="125">
        <f t="shared" si="5"/>
        <v>6.754793265</v>
      </c>
      <c r="AG46" s="125">
        <f t="shared" si="6"/>
        <v>0.23413330439999991</v>
      </c>
      <c r="AH46" s="125">
        <f t="shared" si="7"/>
        <v>5.289855758999999</v>
      </c>
      <c r="AI46" s="125">
        <f t="shared" si="8"/>
        <v>1.2121937009999997</v>
      </c>
      <c r="AJ46" s="125">
        <f t="shared" si="9"/>
        <v>7.7043814247999967</v>
      </c>
      <c r="AK46" s="125">
        <f t="shared" si="10"/>
        <v>1.254960960000001E-2</v>
      </c>
      <c r="AL46" s="115">
        <f t="shared" si="11"/>
        <v>2.2546886543999993</v>
      </c>
      <c r="AM46" s="40"/>
      <c r="AN46" s="40"/>
      <c r="AO46" s="40"/>
      <c r="AP46" s="40"/>
      <c r="AQ46" s="40"/>
      <c r="AR46" s="40"/>
    </row>
    <row r="47" spans="2:56" ht="13.8" x14ac:dyDescent="0.3">
      <c r="B47" s="90" t="s">
        <v>310</v>
      </c>
      <c r="C47" s="95" t="s">
        <v>61</v>
      </c>
      <c r="D47" s="91">
        <f>IF(Table1[[#This Row],[2022 Value known?]]="No",6,0)</f>
        <v>6</v>
      </c>
      <c r="E47" s="83">
        <f>25</f>
        <v>25</v>
      </c>
      <c r="F47" s="96" t="s">
        <v>61</v>
      </c>
      <c r="G47" s="85">
        <f>IF(Table1[[#This Row],[2025 Value known?]]="No",6,0)</f>
        <v>6</v>
      </c>
      <c r="H47" s="83">
        <v>25</v>
      </c>
      <c r="I47" s="84" t="s">
        <v>61</v>
      </c>
      <c r="J47" s="135">
        <v>6</v>
      </c>
      <c r="K47" s="134">
        <v>25</v>
      </c>
      <c r="L47" s="40"/>
      <c r="M47" s="40"/>
      <c r="N47" s="40"/>
      <c r="O47" s="40"/>
      <c r="P47" s="40"/>
      <c r="Y47" s="40"/>
      <c r="Z47" s="120" t="s">
        <v>476</v>
      </c>
      <c r="AA47" s="123">
        <v>825.05</v>
      </c>
      <c r="AB47" s="125">
        <v>41</v>
      </c>
      <c r="AC47" s="125">
        <f t="shared" si="2"/>
        <v>1.1185590623499995</v>
      </c>
      <c r="AD47" s="125">
        <f t="shared" si="3"/>
        <v>11.673958344749996</v>
      </c>
      <c r="AE47" s="125">
        <f t="shared" si="4"/>
        <v>0.4735786999999998</v>
      </c>
      <c r="AF47" s="125">
        <f t="shared" si="5"/>
        <v>7.1905582649999999</v>
      </c>
      <c r="AG47" s="125">
        <f t="shared" si="6"/>
        <v>0.2492377043999999</v>
      </c>
      <c r="AH47" s="125">
        <f t="shared" si="7"/>
        <v>5.6311147589999999</v>
      </c>
      <c r="AI47" s="125">
        <f t="shared" si="8"/>
        <v>1.2903947009999996</v>
      </c>
      <c r="AJ47" s="125">
        <f t="shared" si="9"/>
        <v>8.2014062247999959</v>
      </c>
      <c r="AK47" s="125">
        <f t="shared" si="10"/>
        <v>1.335920960000001E-2</v>
      </c>
      <c r="AL47" s="115">
        <f t="shared" si="11"/>
        <v>2.4001430543999995</v>
      </c>
      <c r="AM47" s="40"/>
      <c r="AN47" s="40"/>
      <c r="AO47" s="40"/>
      <c r="AP47" s="40"/>
      <c r="AQ47" s="40"/>
      <c r="AR47" s="40"/>
    </row>
    <row r="48" spans="2:56" ht="14.4" thickBot="1" x14ac:dyDescent="0.35">
      <c r="B48" s="90" t="s">
        <v>311</v>
      </c>
      <c r="C48" s="95" t="s">
        <v>61</v>
      </c>
      <c r="D48" s="91">
        <f>IF(Table1[[#This Row],[2022 Value known?]]="No",6,0)</f>
        <v>6</v>
      </c>
      <c r="E48" s="83">
        <f>25</f>
        <v>25</v>
      </c>
      <c r="F48" s="96" t="s">
        <v>61</v>
      </c>
      <c r="G48" s="85">
        <f>IF(Table1[[#This Row],[2025 Value known?]]="No",6,0)</f>
        <v>6</v>
      </c>
      <c r="H48" s="83">
        <v>25</v>
      </c>
      <c r="I48" s="84" t="s">
        <v>61</v>
      </c>
      <c r="J48" s="135">
        <v>6</v>
      </c>
      <c r="K48" s="134">
        <v>25</v>
      </c>
      <c r="L48" s="40"/>
      <c r="M48" s="40"/>
      <c r="N48" s="40"/>
      <c r="O48" s="40"/>
      <c r="P48" s="40"/>
      <c r="Y48" s="40"/>
      <c r="Z48" s="121" t="s">
        <v>477</v>
      </c>
      <c r="AA48" s="124">
        <v>875.05</v>
      </c>
      <c r="AB48" s="126">
        <v>41</v>
      </c>
      <c r="AC48" s="126">
        <f t="shared" si="2"/>
        <v>1.1863464123499996</v>
      </c>
      <c r="AD48" s="126">
        <f t="shared" si="3"/>
        <v>12.381428094749998</v>
      </c>
      <c r="AE48" s="126">
        <f t="shared" si="4"/>
        <v>0.50227869999999974</v>
      </c>
      <c r="AF48" s="126">
        <f t="shared" si="5"/>
        <v>7.6263232649999999</v>
      </c>
      <c r="AG48" s="126">
        <f t="shared" si="6"/>
        <v>0.26434210439999989</v>
      </c>
      <c r="AH48" s="126">
        <f t="shared" si="7"/>
        <v>5.972373758999999</v>
      </c>
      <c r="AI48" s="126">
        <f t="shared" si="8"/>
        <v>1.3685957009999998</v>
      </c>
      <c r="AJ48" s="126">
        <f t="shared" si="9"/>
        <v>8.6984310247999979</v>
      </c>
      <c r="AK48" s="126">
        <f t="shared" si="10"/>
        <v>1.4168809600000011E-2</v>
      </c>
      <c r="AL48" s="116">
        <f t="shared" si="11"/>
        <v>2.5455974543999997</v>
      </c>
      <c r="AM48" s="40"/>
      <c r="AN48" s="40"/>
      <c r="AO48" s="40"/>
      <c r="AP48" s="40"/>
      <c r="AQ48" s="40"/>
      <c r="AR48" s="40"/>
    </row>
    <row r="49" spans="2:44" ht="14.4" thickBot="1" x14ac:dyDescent="0.35">
      <c r="B49" s="90" t="s">
        <v>312</v>
      </c>
      <c r="C49" s="95" t="s">
        <v>61</v>
      </c>
      <c r="D49" s="91">
        <f>IF(Table1[[#This Row],[2022 Value known?]]="No",6,0)</f>
        <v>6</v>
      </c>
      <c r="E49" s="83">
        <f>25</f>
        <v>25</v>
      </c>
      <c r="F49" s="96" t="s">
        <v>61</v>
      </c>
      <c r="G49" s="85">
        <f>IF(Table1[[#This Row],[2025 Value known?]]="No",6,0)</f>
        <v>6</v>
      </c>
      <c r="H49" s="83">
        <v>25</v>
      </c>
      <c r="I49" s="84" t="s">
        <v>61</v>
      </c>
      <c r="J49" s="135">
        <v>6</v>
      </c>
      <c r="K49" s="134">
        <v>25</v>
      </c>
      <c r="L49" s="40"/>
      <c r="M49" s="40"/>
      <c r="N49" s="40"/>
      <c r="O49" s="40"/>
      <c r="P49" s="40"/>
      <c r="Y49" s="40"/>
      <c r="Z49" s="40"/>
      <c r="AA49" s="40"/>
      <c r="AB49" s="40"/>
      <c r="AC49" s="40"/>
      <c r="AD49" s="40"/>
      <c r="AE49" s="40"/>
      <c r="AF49" s="40"/>
      <c r="AG49" s="40"/>
      <c r="AH49" s="40"/>
      <c r="AI49" s="40"/>
      <c r="AJ49" s="40"/>
      <c r="AK49" s="40"/>
      <c r="AL49" s="40"/>
      <c r="AM49" s="40"/>
      <c r="AN49" s="40"/>
      <c r="AO49" s="40"/>
      <c r="AP49" s="40"/>
      <c r="AQ49" s="40"/>
      <c r="AR49" s="40"/>
    </row>
    <row r="50" spans="2:44" ht="27.6" x14ac:dyDescent="0.3">
      <c r="B50" s="90" t="s">
        <v>313</v>
      </c>
      <c r="C50" s="95" t="s">
        <v>13</v>
      </c>
      <c r="D50" s="91">
        <v>0.74</v>
      </c>
      <c r="E50" s="83">
        <f>25</f>
        <v>25</v>
      </c>
      <c r="F50" s="96" t="s">
        <v>13</v>
      </c>
      <c r="G50" s="85">
        <f>Table1[[#This Row],[2022 TP Discharge level (mg/l)]]</f>
        <v>0.74</v>
      </c>
      <c r="H50" s="83">
        <v>25</v>
      </c>
      <c r="I50" s="84" t="s">
        <v>13</v>
      </c>
      <c r="J50" s="135">
        <f t="shared" si="12"/>
        <v>0.22500000000000001</v>
      </c>
      <c r="K50" s="134">
        <f t="shared" si="1"/>
        <v>9</v>
      </c>
      <c r="L50" s="40"/>
      <c r="M50" s="40"/>
      <c r="N50" s="40"/>
      <c r="O50" s="40"/>
      <c r="P50" s="40"/>
      <c r="Z50" s="129"/>
      <c r="AA50" s="130" t="s">
        <v>478</v>
      </c>
      <c r="AB50" s="130" t="s">
        <v>480</v>
      </c>
      <c r="AC50" s="131" t="s">
        <v>479</v>
      </c>
      <c r="AD50" s="40"/>
      <c r="AE50" s="40"/>
      <c r="AF50" s="40"/>
      <c r="AG50" s="40"/>
      <c r="AH50" s="40"/>
      <c r="AI50" s="40"/>
      <c r="AJ50" s="40"/>
      <c r="AK50" s="40"/>
      <c r="AL50" s="40"/>
      <c r="AM50" s="40"/>
      <c r="AN50" s="40"/>
      <c r="AO50" s="40"/>
      <c r="AP50" s="40"/>
      <c r="AQ50" s="40"/>
      <c r="AR50" s="40"/>
    </row>
    <row r="51" spans="2:44" ht="13.8" x14ac:dyDescent="0.3">
      <c r="B51" s="90" t="s">
        <v>314</v>
      </c>
      <c r="C51" s="95" t="s">
        <v>61</v>
      </c>
      <c r="D51" s="91">
        <f>IF(Table1[[#This Row],[2022 Value known?]]="No",6,0)</f>
        <v>6</v>
      </c>
      <c r="E51" s="83">
        <f>25</f>
        <v>25</v>
      </c>
      <c r="F51" s="96" t="s">
        <v>61</v>
      </c>
      <c r="G51" s="85">
        <f>IF(Table1[[#This Row],[2025 Value known?]]="No",6,0)</f>
        <v>6</v>
      </c>
      <c r="H51" s="83">
        <v>25</v>
      </c>
      <c r="I51" s="84" t="s">
        <v>13</v>
      </c>
      <c r="J51" s="135">
        <f t="shared" si="12"/>
        <v>0.22500000000000001</v>
      </c>
      <c r="K51" s="134">
        <f t="shared" si="1"/>
        <v>9</v>
      </c>
      <c r="L51" s="40"/>
      <c r="M51" s="40"/>
      <c r="N51" s="40"/>
      <c r="O51" s="40"/>
      <c r="P51" s="40"/>
      <c r="Z51" s="120" t="s">
        <v>429</v>
      </c>
      <c r="AA51" s="123" t="s">
        <v>559</v>
      </c>
      <c r="AB51" s="123">
        <f>51+10</f>
        <v>61</v>
      </c>
      <c r="AC51" s="127">
        <v>0.41</v>
      </c>
      <c r="AD51" s="40"/>
      <c r="AE51" s="40"/>
      <c r="AF51" s="40"/>
      <c r="AG51" s="40"/>
      <c r="AH51" s="40"/>
      <c r="AI51" s="40"/>
      <c r="AJ51" s="40"/>
      <c r="AK51" s="40"/>
      <c r="AL51" s="40"/>
      <c r="AM51" s="40"/>
      <c r="AN51" s="40"/>
      <c r="AO51" s="40"/>
      <c r="AP51" s="40"/>
      <c r="AQ51" s="40"/>
      <c r="AR51" s="40"/>
    </row>
    <row r="52" spans="2:44" ht="13.8" x14ac:dyDescent="0.3">
      <c r="B52" s="90" t="s">
        <v>315</v>
      </c>
      <c r="C52" s="95" t="s">
        <v>13</v>
      </c>
      <c r="D52" s="91">
        <v>0.62</v>
      </c>
      <c r="E52" s="83">
        <f>25</f>
        <v>25</v>
      </c>
      <c r="F52" s="96" t="s">
        <v>13</v>
      </c>
      <c r="G52" s="85">
        <f>Table1[[#This Row],[2022 TP Discharge level (mg/l)]]</f>
        <v>0.62</v>
      </c>
      <c r="H52" s="83">
        <v>25</v>
      </c>
      <c r="I52" s="84" t="s">
        <v>13</v>
      </c>
      <c r="J52" s="135">
        <f>Table1[[#This Row],[Post 2025 TP Discharge level (mg/l)]]</f>
        <v>0.62</v>
      </c>
      <c r="K52" s="134">
        <f>Table1[[#This Row],[Post 2025 TN Discharge level (mg/l)]]</f>
        <v>25</v>
      </c>
      <c r="L52" s="40"/>
      <c r="M52" s="40"/>
      <c r="N52" s="40"/>
      <c r="O52" s="40"/>
      <c r="P52" s="40"/>
      <c r="Z52" s="120" t="s">
        <v>429</v>
      </c>
      <c r="AA52" s="123" t="s">
        <v>560</v>
      </c>
      <c r="AB52" s="123">
        <f>28+10</f>
        <v>38</v>
      </c>
      <c r="AC52" s="127">
        <v>0.41</v>
      </c>
      <c r="AD52" s="40"/>
      <c r="AE52" s="40"/>
      <c r="AF52" s="40"/>
      <c r="AG52" s="40"/>
      <c r="AH52" s="40"/>
      <c r="AI52" s="40"/>
      <c r="AJ52" s="40"/>
      <c r="AK52" s="40"/>
      <c r="AL52" s="40"/>
      <c r="AM52" s="40"/>
      <c r="AN52" s="40"/>
      <c r="AO52" s="40"/>
      <c r="AP52" s="40"/>
      <c r="AQ52" s="40"/>
      <c r="AR52" s="40"/>
    </row>
    <row r="53" spans="2:44" ht="13.8" x14ac:dyDescent="0.3">
      <c r="B53" s="90" t="s">
        <v>316</v>
      </c>
      <c r="C53" s="95" t="s">
        <v>61</v>
      </c>
      <c r="D53" s="91">
        <f>IF(Table1[[#This Row],[2022 Value known?]]="No",6,0)</f>
        <v>6</v>
      </c>
      <c r="E53" s="83">
        <f>25</f>
        <v>25</v>
      </c>
      <c r="F53" s="96" t="s">
        <v>61</v>
      </c>
      <c r="G53" s="85">
        <f>IF(Table1[[#This Row],[2025 Value known?]]="No",6,0)</f>
        <v>6</v>
      </c>
      <c r="H53" s="83">
        <v>25</v>
      </c>
      <c r="I53" s="84" t="s">
        <v>61</v>
      </c>
      <c r="J53" s="135">
        <v>6</v>
      </c>
      <c r="K53" s="134">
        <v>25</v>
      </c>
      <c r="L53" s="40"/>
      <c r="M53" s="40"/>
      <c r="N53" s="40"/>
      <c r="O53" s="40"/>
      <c r="P53" s="40"/>
      <c r="Z53" s="120" t="s">
        <v>429</v>
      </c>
      <c r="AA53" s="123" t="s">
        <v>561</v>
      </c>
      <c r="AB53" s="123">
        <f>20+10</f>
        <v>30</v>
      </c>
      <c r="AC53" s="127">
        <v>0.41</v>
      </c>
      <c r="AD53" s="40"/>
      <c r="AE53" s="40"/>
      <c r="AF53" s="40"/>
      <c r="AG53" s="40"/>
      <c r="AH53" s="40"/>
      <c r="AI53" s="40"/>
      <c r="AJ53" s="40"/>
      <c r="AK53" s="40"/>
      <c r="AL53" s="40"/>
      <c r="AM53" s="40"/>
      <c r="AN53" s="40"/>
      <c r="AO53" s="40"/>
      <c r="AP53" s="40"/>
      <c r="AQ53" s="40"/>
      <c r="AR53" s="40"/>
    </row>
    <row r="54" spans="2:44" ht="13.8" x14ac:dyDescent="0.3">
      <c r="B54" s="90" t="s">
        <v>317</v>
      </c>
      <c r="C54" s="95" t="s">
        <v>13</v>
      </c>
      <c r="D54" s="138">
        <f>2*0.9</f>
        <v>1.8</v>
      </c>
      <c r="E54" s="83">
        <f>25</f>
        <v>25</v>
      </c>
      <c r="F54" s="96" t="s">
        <v>13</v>
      </c>
      <c r="G54" s="141">
        <f>Table1[[#This Row],[2022 TP Discharge level (mg/l)]]</f>
        <v>1.8</v>
      </c>
      <c r="H54" s="83">
        <v>25</v>
      </c>
      <c r="I54" s="84" t="s">
        <v>13</v>
      </c>
      <c r="J54" s="141">
        <f>Table1[[#This Row],[Post 2025 TP Discharge level (mg/l)]]</f>
        <v>1.8</v>
      </c>
      <c r="K54" s="134">
        <f>Table1[[#This Row],[Post 2025 TN Discharge level (mg/l)]]</f>
        <v>25</v>
      </c>
      <c r="L54" s="40"/>
      <c r="M54" s="40"/>
      <c r="N54" s="40"/>
      <c r="O54" s="40"/>
      <c r="P54" s="40"/>
      <c r="Z54" s="120" t="s">
        <v>429</v>
      </c>
      <c r="AA54" s="123" t="s">
        <v>467</v>
      </c>
      <c r="AB54" s="123">
        <f>74+10</f>
        <v>84</v>
      </c>
      <c r="AC54" s="127">
        <v>0.3</v>
      </c>
      <c r="AD54" s="40"/>
      <c r="AE54" s="40"/>
      <c r="AF54" s="40"/>
      <c r="AG54" s="40"/>
      <c r="AH54" s="40"/>
      <c r="AI54" s="40"/>
      <c r="AJ54" s="40"/>
      <c r="AK54" s="40"/>
      <c r="AL54" s="40"/>
      <c r="AM54" s="40"/>
      <c r="AN54" s="40"/>
      <c r="AO54" s="40"/>
      <c r="AP54" s="40"/>
      <c r="AQ54" s="40"/>
      <c r="AR54" s="40"/>
    </row>
    <row r="55" spans="2:44" ht="13.8" x14ac:dyDescent="0.3">
      <c r="B55" s="90" t="s">
        <v>318</v>
      </c>
      <c r="C55" s="95" t="s">
        <v>13</v>
      </c>
      <c r="D55" s="91">
        <v>0.83</v>
      </c>
      <c r="E55" s="83">
        <f>25</f>
        <v>25</v>
      </c>
      <c r="F55" s="96" t="s">
        <v>13</v>
      </c>
      <c r="G55" s="85">
        <v>0.83</v>
      </c>
      <c r="H55" s="83">
        <v>25</v>
      </c>
      <c r="I55" s="84" t="s">
        <v>13</v>
      </c>
      <c r="J55" s="135">
        <f t="shared" si="12"/>
        <v>0.22500000000000001</v>
      </c>
      <c r="K55" s="134">
        <f t="shared" si="1"/>
        <v>9</v>
      </c>
      <c r="L55" s="40"/>
      <c r="M55" s="40"/>
      <c r="N55" s="40"/>
      <c r="O55" s="40"/>
      <c r="P55" s="40"/>
      <c r="Z55" s="120" t="s">
        <v>429</v>
      </c>
      <c r="AA55" s="123" t="s">
        <v>440</v>
      </c>
      <c r="AB55" s="123">
        <f>12+10</f>
        <v>22</v>
      </c>
      <c r="AC55" s="127">
        <v>0.22</v>
      </c>
      <c r="AD55" s="40"/>
      <c r="AE55" s="40"/>
      <c r="AF55" s="40"/>
      <c r="AG55" s="40"/>
      <c r="AH55" s="40"/>
      <c r="AI55" s="40"/>
      <c r="AJ55" s="40"/>
      <c r="AK55" s="40"/>
      <c r="AL55" s="40"/>
      <c r="AM55" s="40"/>
      <c r="AN55" s="40"/>
      <c r="AO55" s="40"/>
      <c r="AP55" s="40"/>
      <c r="AQ55" s="40"/>
      <c r="AR55" s="40"/>
    </row>
    <row r="56" spans="2:44" ht="13.8" x14ac:dyDescent="0.3">
      <c r="B56" s="90" t="s">
        <v>319</v>
      </c>
      <c r="C56" s="95" t="s">
        <v>61</v>
      </c>
      <c r="D56" s="91">
        <f>IF(Table1[[#This Row],[2022 Value known?]]="No",6,0)</f>
        <v>6</v>
      </c>
      <c r="E56" s="83">
        <f>25</f>
        <v>25</v>
      </c>
      <c r="F56" s="96" t="s">
        <v>61</v>
      </c>
      <c r="G56" s="85">
        <f>IF(Table1[[#This Row],[2025 Value known?]]="No",6,0)</f>
        <v>6</v>
      </c>
      <c r="H56" s="83">
        <v>25</v>
      </c>
      <c r="I56" s="84" t="s">
        <v>61</v>
      </c>
      <c r="J56" s="135">
        <v>6</v>
      </c>
      <c r="K56" s="134">
        <v>25</v>
      </c>
      <c r="L56" s="40"/>
      <c r="M56" s="40"/>
      <c r="N56" s="40"/>
      <c r="O56" s="40"/>
      <c r="P56" s="40"/>
      <c r="Z56" s="120" t="s">
        <v>430</v>
      </c>
      <c r="AA56" s="123" t="s">
        <v>466</v>
      </c>
      <c r="AB56" s="123">
        <f>AB51+20</f>
        <v>81</v>
      </c>
      <c r="AC56" s="127">
        <v>2.85</v>
      </c>
      <c r="AD56" s="40"/>
      <c r="AE56" s="40"/>
      <c r="AF56" s="40"/>
      <c r="AG56" s="40"/>
      <c r="AH56" s="40"/>
      <c r="AI56" s="40"/>
      <c r="AJ56" s="40"/>
      <c r="AK56" s="40"/>
      <c r="AL56" s="40"/>
      <c r="AM56" s="40"/>
      <c r="AN56" s="40"/>
      <c r="AO56" s="40"/>
      <c r="AP56" s="40"/>
      <c r="AQ56" s="40"/>
      <c r="AR56" s="40"/>
    </row>
    <row r="57" spans="2:44" ht="13.8" x14ac:dyDescent="0.3">
      <c r="B57" s="90" t="s">
        <v>320</v>
      </c>
      <c r="C57" s="95" t="s">
        <v>13</v>
      </c>
      <c r="D57" s="91">
        <v>1.34</v>
      </c>
      <c r="E57" s="83">
        <f>25</f>
        <v>25</v>
      </c>
      <c r="F57" s="96" t="s">
        <v>13</v>
      </c>
      <c r="G57" s="85">
        <v>1.34</v>
      </c>
      <c r="H57" s="83">
        <v>25</v>
      </c>
      <c r="I57" s="84" t="s">
        <v>13</v>
      </c>
      <c r="J57" s="135">
        <f>Table1[[#This Row],[Post 2025 TP Discharge level (mg/l)]]</f>
        <v>1.34</v>
      </c>
      <c r="K57" s="134">
        <f>Table1[[#This Row],[Post 2025 TN Discharge level (mg/l)]]</f>
        <v>25</v>
      </c>
      <c r="L57" s="40"/>
      <c r="M57" s="40"/>
      <c r="N57" s="40"/>
      <c r="O57" s="40"/>
      <c r="P57" s="40"/>
      <c r="Z57" s="120" t="s">
        <v>430</v>
      </c>
      <c r="AA57" s="123" t="s">
        <v>560</v>
      </c>
      <c r="AB57" s="123">
        <f t="shared" ref="AB57:AB60" si="14">AB52+20</f>
        <v>58</v>
      </c>
      <c r="AC57" s="127">
        <v>2.85</v>
      </c>
      <c r="AD57" s="40"/>
      <c r="AE57" s="40"/>
      <c r="AF57" s="40"/>
      <c r="AG57" s="40"/>
      <c r="AH57" s="40"/>
      <c r="AI57" s="40"/>
      <c r="AJ57" s="40"/>
      <c r="AK57" s="40"/>
      <c r="AL57" s="40"/>
      <c r="AM57" s="40"/>
      <c r="AN57" s="40"/>
      <c r="AO57" s="40"/>
      <c r="AP57" s="40"/>
      <c r="AQ57" s="40"/>
      <c r="AR57" s="40"/>
    </row>
    <row r="58" spans="2:44" ht="13.8" x14ac:dyDescent="0.3">
      <c r="B58" s="90" t="s">
        <v>321</v>
      </c>
      <c r="C58" s="95" t="s">
        <v>61</v>
      </c>
      <c r="D58" s="91">
        <f>IF(Table1[[#This Row],[2022 Value known?]]="No",6,0)</f>
        <v>6</v>
      </c>
      <c r="E58" s="83">
        <f>25</f>
        <v>25</v>
      </c>
      <c r="F58" s="96" t="s">
        <v>61</v>
      </c>
      <c r="G58" s="85">
        <f>IF(Table1[[#This Row],[2025 Value known?]]="No",6,0)</f>
        <v>6</v>
      </c>
      <c r="H58" s="83">
        <v>25</v>
      </c>
      <c r="I58" s="84" t="s">
        <v>13</v>
      </c>
      <c r="J58" s="135">
        <f t="shared" si="12"/>
        <v>0.22500000000000001</v>
      </c>
      <c r="K58" s="134">
        <f t="shared" si="1"/>
        <v>9</v>
      </c>
      <c r="L58" s="40"/>
      <c r="M58" s="40"/>
      <c r="N58" s="40"/>
      <c r="O58" s="40"/>
      <c r="P58" s="40"/>
      <c r="Z58" s="120" t="s">
        <v>430</v>
      </c>
      <c r="AA58" s="123" t="s">
        <v>561</v>
      </c>
      <c r="AB58" s="123">
        <f t="shared" si="14"/>
        <v>50</v>
      </c>
      <c r="AC58" s="127">
        <v>2.85</v>
      </c>
      <c r="AD58" s="40"/>
      <c r="AE58" s="40"/>
      <c r="AF58" s="40"/>
      <c r="AG58" s="40"/>
      <c r="AH58" s="40"/>
      <c r="AI58" s="40"/>
      <c r="AJ58" s="40"/>
      <c r="AK58" s="40"/>
      <c r="AL58" s="40"/>
      <c r="AM58" s="40"/>
      <c r="AN58" s="40"/>
      <c r="AO58" s="40"/>
      <c r="AP58" s="40"/>
      <c r="AQ58" s="40"/>
      <c r="AR58" s="40"/>
    </row>
    <row r="59" spans="2:44" ht="13.8" x14ac:dyDescent="0.3">
      <c r="B59" s="90" t="s">
        <v>322</v>
      </c>
      <c r="C59" s="95" t="s">
        <v>61</v>
      </c>
      <c r="D59" s="91">
        <f>IF(Table1[[#This Row],[2022 Value known?]]="No",6,0)</f>
        <v>6</v>
      </c>
      <c r="E59" s="83">
        <f>25</f>
        <v>25</v>
      </c>
      <c r="F59" s="96" t="s">
        <v>61</v>
      </c>
      <c r="G59" s="85">
        <f>IF(Table1[[#This Row],[2025 Value known?]]="No",6,0)</f>
        <v>6</v>
      </c>
      <c r="H59" s="83">
        <v>25</v>
      </c>
      <c r="I59" s="84" t="s">
        <v>61</v>
      </c>
      <c r="J59" s="135">
        <v>6</v>
      </c>
      <c r="K59" s="134">
        <v>25</v>
      </c>
      <c r="L59" s="40"/>
      <c r="M59" s="40"/>
      <c r="N59" s="40"/>
      <c r="O59" s="40"/>
      <c r="P59" s="40"/>
      <c r="Z59" s="120" t="s">
        <v>430</v>
      </c>
      <c r="AA59" s="123" t="s">
        <v>467</v>
      </c>
      <c r="AB59" s="123">
        <f>100</f>
        <v>100</v>
      </c>
      <c r="AC59" s="127">
        <v>1.52</v>
      </c>
      <c r="AD59" s="40"/>
      <c r="AE59" s="40"/>
      <c r="AF59" s="40"/>
      <c r="AG59" s="40"/>
      <c r="AH59" s="40"/>
      <c r="AI59" s="40"/>
      <c r="AJ59" s="40"/>
      <c r="AK59" s="40"/>
      <c r="AL59" s="40"/>
      <c r="AM59" s="40"/>
      <c r="AN59" s="40"/>
      <c r="AO59" s="40"/>
      <c r="AP59" s="40"/>
      <c r="AQ59" s="40"/>
      <c r="AR59" s="40"/>
    </row>
    <row r="60" spans="2:44" ht="14.4" thickBot="1" x14ac:dyDescent="0.35">
      <c r="B60" s="90" t="s">
        <v>323</v>
      </c>
      <c r="C60" s="95" t="s">
        <v>13</v>
      </c>
      <c r="D60" s="91">
        <v>0.65</v>
      </c>
      <c r="E60" s="83">
        <f>25</f>
        <v>25</v>
      </c>
      <c r="F60" s="96" t="s">
        <v>13</v>
      </c>
      <c r="G60" s="85">
        <v>0.65</v>
      </c>
      <c r="H60" s="83">
        <v>25</v>
      </c>
      <c r="I60" s="84" t="s">
        <v>13</v>
      </c>
      <c r="J60" s="135">
        <f>Table1[[#This Row],[Post 2025 TP Discharge level (mg/l)]]</f>
        <v>0.65</v>
      </c>
      <c r="K60" s="134">
        <f>Table1[[#This Row],[Post 2025 TN Discharge level (mg/l)]]</f>
        <v>25</v>
      </c>
      <c r="L60" s="40"/>
      <c r="M60" s="40"/>
      <c r="N60" s="40"/>
      <c r="O60" s="40"/>
      <c r="P60" s="40"/>
      <c r="Q60" s="40"/>
      <c r="R60" s="40"/>
      <c r="S60" s="40"/>
      <c r="T60" s="40"/>
      <c r="U60" s="40"/>
      <c r="V60" s="40"/>
      <c r="W60" s="40"/>
      <c r="X60" s="40"/>
      <c r="Z60" s="121" t="s">
        <v>430</v>
      </c>
      <c r="AA60" s="124" t="s">
        <v>440</v>
      </c>
      <c r="AB60" s="124">
        <f t="shared" si="14"/>
        <v>42</v>
      </c>
      <c r="AC60" s="128">
        <v>1.68</v>
      </c>
      <c r="AD60" s="40"/>
      <c r="AE60" s="40"/>
      <c r="AF60" s="40"/>
      <c r="AG60" s="40"/>
      <c r="AH60" s="40"/>
      <c r="AI60" s="40"/>
      <c r="AJ60" s="40"/>
      <c r="AK60" s="40"/>
      <c r="AL60" s="40"/>
      <c r="AM60" s="40"/>
      <c r="AN60" s="40"/>
      <c r="AO60" s="40"/>
      <c r="AP60" s="40"/>
      <c r="AQ60" s="40"/>
      <c r="AR60" s="40"/>
    </row>
    <row r="61" spans="2:44" ht="13.8" x14ac:dyDescent="0.3">
      <c r="B61" s="90" t="s">
        <v>324</v>
      </c>
      <c r="C61" s="95" t="s">
        <v>61</v>
      </c>
      <c r="D61" s="91">
        <f>IF(Table1[[#This Row],[2022 Value known?]]="No",6,0)</f>
        <v>6</v>
      </c>
      <c r="E61" s="83">
        <f>25</f>
        <v>25</v>
      </c>
      <c r="F61" s="96" t="s">
        <v>61</v>
      </c>
      <c r="G61" s="85">
        <f>IF(Table1[[#This Row],[2025 Value known?]]="No",6,0)</f>
        <v>6</v>
      </c>
      <c r="H61" s="83">
        <v>25</v>
      </c>
      <c r="I61" s="84" t="s">
        <v>13</v>
      </c>
      <c r="J61" s="135">
        <v>0.23</v>
      </c>
      <c r="K61" s="134">
        <v>9</v>
      </c>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row>
    <row r="62" spans="2:44" ht="13.8" x14ac:dyDescent="0.3">
      <c r="B62" s="90" t="s">
        <v>325</v>
      </c>
      <c r="C62" s="95" t="s">
        <v>61</v>
      </c>
      <c r="D62" s="91">
        <f>IF(Table1[[#This Row],[2022 Value known?]]="No",6,0)</f>
        <v>6</v>
      </c>
      <c r="E62" s="83">
        <f>25</f>
        <v>25</v>
      </c>
      <c r="F62" s="96" t="s">
        <v>61</v>
      </c>
      <c r="G62" s="85">
        <f>IF(Table1[[#This Row],[2025 Value known?]]="No",6,0)</f>
        <v>6</v>
      </c>
      <c r="H62" s="83">
        <v>25</v>
      </c>
      <c r="I62" s="84" t="s">
        <v>61</v>
      </c>
      <c r="J62" s="135">
        <v>6</v>
      </c>
      <c r="K62" s="134">
        <v>25</v>
      </c>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row>
    <row r="63" spans="2:44" ht="13.8" x14ac:dyDescent="0.3">
      <c r="B63" s="90" t="s">
        <v>326</v>
      </c>
      <c r="C63" s="95" t="s">
        <v>61</v>
      </c>
      <c r="D63" s="91">
        <f>IF(Table1[[#This Row],[2022 Value known?]]="No",6,0)</f>
        <v>6</v>
      </c>
      <c r="E63" s="83">
        <f>25</f>
        <v>25</v>
      </c>
      <c r="F63" s="96" t="s">
        <v>61</v>
      </c>
      <c r="G63" s="85">
        <f>IF(Table1[[#This Row],[2025 Value known?]]="No",6,0)</f>
        <v>6</v>
      </c>
      <c r="H63" s="83">
        <v>25</v>
      </c>
      <c r="I63" s="84" t="s">
        <v>61</v>
      </c>
      <c r="J63" s="135">
        <v>6</v>
      </c>
      <c r="K63" s="134">
        <v>25</v>
      </c>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row>
    <row r="64" spans="2:44" ht="13.8" x14ac:dyDescent="0.3">
      <c r="B64" s="90" t="s">
        <v>327</v>
      </c>
      <c r="C64" s="95" t="s">
        <v>61</v>
      </c>
      <c r="D64" s="91">
        <f>IF(Table1[[#This Row],[2022 Value known?]]="No",6,0)</f>
        <v>6</v>
      </c>
      <c r="E64" s="83">
        <f>25</f>
        <v>25</v>
      </c>
      <c r="F64" s="96" t="s">
        <v>61</v>
      </c>
      <c r="G64" s="85">
        <f>IF(Table1[[#This Row],[2025 Value known?]]="No",6,0)</f>
        <v>6</v>
      </c>
      <c r="H64" s="83">
        <v>25</v>
      </c>
      <c r="I64" s="84" t="s">
        <v>61</v>
      </c>
      <c r="J64" s="135">
        <v>6</v>
      </c>
      <c r="K64" s="134">
        <v>25</v>
      </c>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row>
    <row r="65" spans="2:44" ht="13.8" x14ac:dyDescent="0.3">
      <c r="B65" s="90" t="s">
        <v>328</v>
      </c>
      <c r="C65" s="95" t="s">
        <v>61</v>
      </c>
      <c r="D65" s="91">
        <f>IF(Table1[[#This Row],[2022 Value known?]]="No",6,0)</f>
        <v>6</v>
      </c>
      <c r="E65" s="83">
        <f>25</f>
        <v>25</v>
      </c>
      <c r="F65" s="96" t="s">
        <v>61</v>
      </c>
      <c r="G65" s="85">
        <f>IF(Table1[[#This Row],[2025 Value known?]]="No",6,0)</f>
        <v>6</v>
      </c>
      <c r="H65" s="83">
        <v>25</v>
      </c>
      <c r="I65" s="84" t="s">
        <v>61</v>
      </c>
      <c r="J65" s="135">
        <v>6</v>
      </c>
      <c r="K65" s="134">
        <v>25</v>
      </c>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row>
    <row r="66" spans="2:44" ht="13.8" x14ac:dyDescent="0.3">
      <c r="B66" s="90" t="s">
        <v>329</v>
      </c>
      <c r="C66" s="95" t="s">
        <v>61</v>
      </c>
      <c r="D66" s="91">
        <f>IF(Table1[[#This Row],[2022 Value known?]]="No",6,0)</f>
        <v>6</v>
      </c>
      <c r="E66" s="83">
        <f>25</f>
        <v>25</v>
      </c>
      <c r="F66" s="96" t="s">
        <v>61</v>
      </c>
      <c r="G66" s="85">
        <f>IF(Table1[[#This Row],[2025 Value known?]]="No",6,0)</f>
        <v>6</v>
      </c>
      <c r="H66" s="83">
        <v>25</v>
      </c>
      <c r="I66" s="84" t="s">
        <v>61</v>
      </c>
      <c r="J66" s="135">
        <v>6</v>
      </c>
      <c r="K66" s="134">
        <v>25</v>
      </c>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row>
    <row r="67" spans="2:44" ht="13.8" x14ac:dyDescent="0.3">
      <c r="B67" s="90" t="s">
        <v>330</v>
      </c>
      <c r="C67" s="95" t="s">
        <v>13</v>
      </c>
      <c r="D67" s="104">
        <f>3*0.76</f>
        <v>2.2800000000000002</v>
      </c>
      <c r="E67" s="83">
        <f>25</f>
        <v>25</v>
      </c>
      <c r="F67" s="96" t="s">
        <v>13</v>
      </c>
      <c r="G67" s="140">
        <f>0.5*0.9</f>
        <v>0.45</v>
      </c>
      <c r="H67" s="83">
        <v>25</v>
      </c>
      <c r="I67" s="84" t="s">
        <v>13</v>
      </c>
      <c r="J67" s="141">
        <f>Table1[[#This Row],[Post 2025 TP Discharge level (mg/l)]]</f>
        <v>0.45</v>
      </c>
      <c r="K67" s="134">
        <f>Table1[[#This Row],[Post 2025 TN Discharge level (mg/l)]]</f>
        <v>25</v>
      </c>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row>
    <row r="68" spans="2:44" ht="13.8" x14ac:dyDescent="0.3">
      <c r="B68" s="90" t="s">
        <v>331</v>
      </c>
      <c r="C68" s="95" t="s">
        <v>61</v>
      </c>
      <c r="D68" s="91">
        <f>IF(Table1[[#This Row],[2022 Value known?]]="No",6,0)</f>
        <v>6</v>
      </c>
      <c r="E68" s="83">
        <f>25</f>
        <v>25</v>
      </c>
      <c r="F68" s="96" t="s">
        <v>61</v>
      </c>
      <c r="G68" s="85">
        <f>IF(Table1[[#This Row],[2025 Value known?]]="No",6,0)</f>
        <v>6</v>
      </c>
      <c r="H68" s="83">
        <v>25</v>
      </c>
      <c r="I68" s="84" t="s">
        <v>61</v>
      </c>
      <c r="J68" s="135">
        <v>6</v>
      </c>
      <c r="K68" s="134">
        <v>25</v>
      </c>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row>
    <row r="69" spans="2:44" ht="13.8" x14ac:dyDescent="0.3">
      <c r="B69" s="90" t="s">
        <v>332</v>
      </c>
      <c r="C69" s="95" t="s">
        <v>61</v>
      </c>
      <c r="D69" s="91">
        <f>IF(Table1[[#This Row],[2022 Value known?]]="No",6,0)</f>
        <v>6</v>
      </c>
      <c r="E69" s="83">
        <f>25</f>
        <v>25</v>
      </c>
      <c r="F69" s="96" t="s">
        <v>61</v>
      </c>
      <c r="G69" s="85">
        <f>IF(Table1[[#This Row],[2025 Value known?]]="No",6,0)</f>
        <v>6</v>
      </c>
      <c r="H69" s="83">
        <v>25</v>
      </c>
      <c r="I69" s="84" t="s">
        <v>61</v>
      </c>
      <c r="J69" s="135">
        <v>6</v>
      </c>
      <c r="K69" s="134">
        <v>25</v>
      </c>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row>
    <row r="70" spans="2:44" ht="13.8" x14ac:dyDescent="0.3">
      <c r="B70" s="90" t="s">
        <v>333</v>
      </c>
      <c r="C70" s="95" t="s">
        <v>13</v>
      </c>
      <c r="D70" s="91">
        <v>0.86</v>
      </c>
      <c r="E70" s="83">
        <f>25</f>
        <v>25</v>
      </c>
      <c r="F70" s="96" t="s">
        <v>13</v>
      </c>
      <c r="G70" s="85">
        <v>0.86</v>
      </c>
      <c r="H70" s="83">
        <v>25</v>
      </c>
      <c r="I70" s="84" t="s">
        <v>13</v>
      </c>
      <c r="J70" s="135">
        <f t="shared" ref="J70:J86" si="15">0.25*0.9</f>
        <v>0.22500000000000001</v>
      </c>
      <c r="K70" s="134">
        <f t="shared" ref="K70:K86" si="16">10*0.9</f>
        <v>9</v>
      </c>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row>
    <row r="71" spans="2:44" ht="13.8" x14ac:dyDescent="0.3">
      <c r="B71" s="90" t="s">
        <v>334</v>
      </c>
      <c r="C71" s="95" t="s">
        <v>61</v>
      </c>
      <c r="D71" s="91">
        <f>IF(Table1[[#This Row],[2022 Value known?]]="No",6,0)</f>
        <v>6</v>
      </c>
      <c r="E71" s="83">
        <f>25</f>
        <v>25</v>
      </c>
      <c r="F71" s="96" t="s">
        <v>61</v>
      </c>
      <c r="G71" s="85">
        <f>IF(Table1[[#This Row],[2025 Value known?]]="No",6,0)</f>
        <v>6</v>
      </c>
      <c r="H71" s="83">
        <v>25</v>
      </c>
      <c r="I71" s="84" t="s">
        <v>61</v>
      </c>
      <c r="J71" s="135">
        <v>6</v>
      </c>
      <c r="K71" s="134">
        <v>25</v>
      </c>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row>
    <row r="72" spans="2:44" ht="13.8" x14ac:dyDescent="0.3">
      <c r="B72" s="90" t="s">
        <v>335</v>
      </c>
      <c r="C72" s="95" t="s">
        <v>61</v>
      </c>
      <c r="D72" s="91">
        <f>IF(Table1[[#This Row],[2022 Value known?]]="No",6,0)</f>
        <v>6</v>
      </c>
      <c r="E72" s="83">
        <f>25</f>
        <v>25</v>
      </c>
      <c r="F72" s="96" t="s">
        <v>61</v>
      </c>
      <c r="G72" s="85">
        <f>IF(Table1[[#This Row],[2025 Value known?]]="No",6,0)</f>
        <v>6</v>
      </c>
      <c r="H72" s="83">
        <v>25</v>
      </c>
      <c r="I72" s="84" t="s">
        <v>61</v>
      </c>
      <c r="J72" s="135">
        <v>6</v>
      </c>
      <c r="K72" s="134">
        <v>25</v>
      </c>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row>
    <row r="73" spans="2:44" ht="13.8" x14ac:dyDescent="0.3">
      <c r="B73" s="90" t="s">
        <v>336</v>
      </c>
      <c r="C73" s="95" t="s">
        <v>61</v>
      </c>
      <c r="D73" s="91">
        <f>IF(Table1[[#This Row],[2022 Value known?]]="No",6,0)</f>
        <v>6</v>
      </c>
      <c r="E73" s="83">
        <f>25</f>
        <v>25</v>
      </c>
      <c r="F73" s="96" t="s">
        <v>61</v>
      </c>
      <c r="G73" s="85">
        <f>IF(Table1[[#This Row],[2025 Value known?]]="No",6,0)</f>
        <v>6</v>
      </c>
      <c r="H73" s="83">
        <v>25</v>
      </c>
      <c r="I73" s="84" t="s">
        <v>61</v>
      </c>
      <c r="J73" s="135">
        <v>6</v>
      </c>
      <c r="K73" s="134">
        <v>25</v>
      </c>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row>
    <row r="74" spans="2:44" ht="13.8" x14ac:dyDescent="0.3">
      <c r="B74" s="90" t="s">
        <v>337</v>
      </c>
      <c r="C74" s="95" t="s">
        <v>61</v>
      </c>
      <c r="D74" s="91">
        <f>IF(Table1[[#This Row],[2022 Value known?]]="No",6,0)</f>
        <v>6</v>
      </c>
      <c r="E74" s="83">
        <f>25</f>
        <v>25</v>
      </c>
      <c r="F74" s="96" t="s">
        <v>61</v>
      </c>
      <c r="G74" s="85">
        <f>IF(Table1[[#This Row],[2025 Value known?]]="No",6,0)</f>
        <v>6</v>
      </c>
      <c r="H74" s="83">
        <v>25</v>
      </c>
      <c r="I74" s="84" t="s">
        <v>61</v>
      </c>
      <c r="J74" s="135">
        <v>6</v>
      </c>
      <c r="K74" s="134">
        <v>25</v>
      </c>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row>
    <row r="75" spans="2:44" ht="13.8" x14ac:dyDescent="0.3">
      <c r="B75" s="90" t="s">
        <v>338</v>
      </c>
      <c r="C75" s="95" t="s">
        <v>13</v>
      </c>
      <c r="D75" s="104">
        <f>2*0.76</f>
        <v>1.52</v>
      </c>
      <c r="E75" s="83">
        <f>25</f>
        <v>25</v>
      </c>
      <c r="F75" s="96" t="s">
        <v>13</v>
      </c>
      <c r="G75" s="105">
        <f>2*0.76</f>
        <v>1.52</v>
      </c>
      <c r="H75" s="83">
        <v>25</v>
      </c>
      <c r="I75" s="84" t="s">
        <v>13</v>
      </c>
      <c r="J75" s="352">
        <f>Table1[[#This Row],[Post 2025 TP Discharge level (mg/l)]]</f>
        <v>1.52</v>
      </c>
      <c r="K75" s="134">
        <f>Table1[[#This Row],[Post 2025 TN Discharge level (mg/l)]]</f>
        <v>25</v>
      </c>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row>
    <row r="76" spans="2:44" ht="13.8" x14ac:dyDescent="0.3">
      <c r="B76" s="90" t="s">
        <v>339</v>
      </c>
      <c r="C76" s="95" t="s">
        <v>61</v>
      </c>
      <c r="D76" s="91">
        <f>IF(Table1[[#This Row],[2022 Value known?]]="No",6,0)</f>
        <v>6</v>
      </c>
      <c r="E76" s="83">
        <f>25</f>
        <v>25</v>
      </c>
      <c r="F76" s="96" t="s">
        <v>61</v>
      </c>
      <c r="G76" s="85">
        <f>IF(Table1[[#This Row],[2025 Value known?]]="No",6,0)</f>
        <v>6</v>
      </c>
      <c r="H76" s="83">
        <v>25</v>
      </c>
      <c r="I76" s="84" t="s">
        <v>61</v>
      </c>
      <c r="J76" s="135">
        <v>6</v>
      </c>
      <c r="K76" s="134">
        <v>25</v>
      </c>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row>
    <row r="77" spans="2:44" ht="13.8" x14ac:dyDescent="0.3">
      <c r="B77" s="90" t="s">
        <v>340</v>
      </c>
      <c r="C77" s="95" t="s">
        <v>61</v>
      </c>
      <c r="D77" s="91">
        <f>IF(Table1[[#This Row],[2022 Value known?]]="No",6,0)</f>
        <v>6</v>
      </c>
      <c r="E77" s="83">
        <f>25</f>
        <v>25</v>
      </c>
      <c r="F77" s="96" t="s">
        <v>13</v>
      </c>
      <c r="G77" s="140">
        <f>0.4*0.9</f>
        <v>0.36000000000000004</v>
      </c>
      <c r="H77" s="83">
        <v>25</v>
      </c>
      <c r="I77" s="84" t="s">
        <v>13</v>
      </c>
      <c r="J77" s="135">
        <f t="shared" si="15"/>
        <v>0.22500000000000001</v>
      </c>
      <c r="K77" s="134">
        <f t="shared" si="16"/>
        <v>9</v>
      </c>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row>
    <row r="78" spans="2:44" ht="13.8" x14ac:dyDescent="0.3">
      <c r="B78" s="90" t="s">
        <v>341</v>
      </c>
      <c r="C78" s="95" t="s">
        <v>61</v>
      </c>
      <c r="D78" s="91">
        <f>IF(Table1[[#This Row],[2022 Value known?]]="No",6,0)</f>
        <v>6</v>
      </c>
      <c r="E78" s="83">
        <f>25</f>
        <v>25</v>
      </c>
      <c r="F78" s="96" t="s">
        <v>61</v>
      </c>
      <c r="G78" s="85">
        <f>IF(Table1[[#This Row],[2025 Value known?]]="No",6,0)</f>
        <v>6</v>
      </c>
      <c r="H78" s="83">
        <v>25</v>
      </c>
      <c r="I78" s="84" t="s">
        <v>61</v>
      </c>
      <c r="J78" s="135">
        <v>6</v>
      </c>
      <c r="K78" s="134">
        <v>25</v>
      </c>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row>
    <row r="79" spans="2:44" ht="13.8" x14ac:dyDescent="0.3">
      <c r="B79" s="90" t="s">
        <v>462</v>
      </c>
      <c r="C79" s="95" t="s">
        <v>61</v>
      </c>
      <c r="D79" s="91">
        <f>IF(Table1[[#This Row],[2022 Value known?]]="No",6,0)</f>
        <v>6</v>
      </c>
      <c r="E79" s="83">
        <f>25</f>
        <v>25</v>
      </c>
      <c r="F79" s="96" t="s">
        <v>61</v>
      </c>
      <c r="G79" s="85">
        <f>IF(Table1[[#This Row],[2025 Value known?]]="No",6,0)</f>
        <v>6</v>
      </c>
      <c r="H79" s="83">
        <v>25</v>
      </c>
      <c r="I79" s="84" t="s">
        <v>61</v>
      </c>
      <c r="J79" s="135">
        <v>6</v>
      </c>
      <c r="K79" s="134">
        <v>25</v>
      </c>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row>
    <row r="80" spans="2:44" ht="13.8" x14ac:dyDescent="0.3">
      <c r="B80" s="90" t="s">
        <v>342</v>
      </c>
      <c r="C80" s="95" t="s">
        <v>61</v>
      </c>
      <c r="D80" s="91">
        <f>IF(Table1[[#This Row],[2022 Value known?]]="No",6,0)</f>
        <v>6</v>
      </c>
      <c r="E80" s="83">
        <f>25</f>
        <v>25</v>
      </c>
      <c r="F80" s="96" t="s">
        <v>61</v>
      </c>
      <c r="G80" s="85">
        <f>IF(Table1[[#This Row],[2025 Value known?]]="No",6,0)</f>
        <v>6</v>
      </c>
      <c r="H80" s="83">
        <v>25</v>
      </c>
      <c r="I80" s="84" t="s">
        <v>61</v>
      </c>
      <c r="J80" s="135">
        <v>6</v>
      </c>
      <c r="K80" s="134">
        <v>25</v>
      </c>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row>
    <row r="81" spans="2:44" ht="13.8" x14ac:dyDescent="0.3">
      <c r="B81" s="90" t="s">
        <v>343</v>
      </c>
      <c r="C81" s="95" t="s">
        <v>61</v>
      </c>
      <c r="D81" s="91">
        <f>IF(Table1[[#This Row],[2022 Value known?]]="No",6,0)</f>
        <v>6</v>
      </c>
      <c r="E81" s="83">
        <f>25</f>
        <v>25</v>
      </c>
      <c r="F81" s="96" t="s">
        <v>61</v>
      </c>
      <c r="G81" s="85">
        <f>IF(Table1[[#This Row],[2025 Value known?]]="No",6,0)</f>
        <v>6</v>
      </c>
      <c r="H81" s="83">
        <v>25</v>
      </c>
      <c r="I81" s="84" t="s">
        <v>61</v>
      </c>
      <c r="J81" s="135">
        <v>6</v>
      </c>
      <c r="K81" s="134">
        <v>25</v>
      </c>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row>
    <row r="82" spans="2:44" ht="13.8" x14ac:dyDescent="0.3">
      <c r="B82" s="90" t="s">
        <v>344</v>
      </c>
      <c r="C82" s="95" t="s">
        <v>61</v>
      </c>
      <c r="D82" s="91">
        <f>IF(Table1[[#This Row],[2022 Value known?]]="No",6,0)</f>
        <v>6</v>
      </c>
      <c r="E82" s="83">
        <f>25</f>
        <v>25</v>
      </c>
      <c r="F82" s="96" t="s">
        <v>61</v>
      </c>
      <c r="G82" s="85">
        <f>IF(Table1[[#This Row],[2025 Value known?]]="No",6,0)</f>
        <v>6</v>
      </c>
      <c r="H82" s="83">
        <v>25</v>
      </c>
      <c r="I82" s="84" t="s">
        <v>61</v>
      </c>
      <c r="J82" s="135">
        <v>6</v>
      </c>
      <c r="K82" s="134">
        <v>25</v>
      </c>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row>
    <row r="83" spans="2:44" ht="13.8" x14ac:dyDescent="0.3">
      <c r="B83" s="90" t="s">
        <v>345</v>
      </c>
      <c r="C83" s="95" t="s">
        <v>61</v>
      </c>
      <c r="D83" s="91">
        <f>IF(Table1[[#This Row],[2022 Value known?]]="No",6,0)</f>
        <v>6</v>
      </c>
      <c r="E83" s="83">
        <f>25</f>
        <v>25</v>
      </c>
      <c r="F83" s="96" t="s">
        <v>61</v>
      </c>
      <c r="G83" s="85">
        <f>IF(Table1[[#This Row],[2025 Value known?]]="No",6,0)</f>
        <v>6</v>
      </c>
      <c r="H83" s="83">
        <v>25</v>
      </c>
      <c r="I83" s="84" t="s">
        <v>61</v>
      </c>
      <c r="J83" s="135">
        <v>6</v>
      </c>
      <c r="K83" s="134">
        <v>25</v>
      </c>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row>
    <row r="84" spans="2:44" ht="13.8" x14ac:dyDescent="0.3">
      <c r="B84" s="90" t="s">
        <v>346</v>
      </c>
      <c r="C84" s="95" t="s">
        <v>61</v>
      </c>
      <c r="D84" s="91">
        <f>IF(Table1[[#This Row],[2022 Value known?]]="No",6,0)</f>
        <v>6</v>
      </c>
      <c r="E84" s="83">
        <f>25</f>
        <v>25</v>
      </c>
      <c r="F84" s="96" t="s">
        <v>61</v>
      </c>
      <c r="G84" s="85">
        <f>IF(Table1[[#This Row],[2025 Value known?]]="No",6,0)</f>
        <v>6</v>
      </c>
      <c r="H84" s="83">
        <v>25</v>
      </c>
      <c r="I84" s="84" t="s">
        <v>61</v>
      </c>
      <c r="J84" s="135">
        <v>6</v>
      </c>
      <c r="K84" s="134">
        <v>25</v>
      </c>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row>
    <row r="85" spans="2:44" ht="13.8" x14ac:dyDescent="0.3">
      <c r="B85" s="90" t="s">
        <v>347</v>
      </c>
      <c r="C85" s="95" t="s">
        <v>13</v>
      </c>
      <c r="D85" s="138">
        <f>1*0.9</f>
        <v>0.9</v>
      </c>
      <c r="E85" s="83">
        <f>25</f>
        <v>25</v>
      </c>
      <c r="F85" s="96" t="s">
        <v>13</v>
      </c>
      <c r="G85" s="140">
        <f>1*0.9</f>
        <v>0.9</v>
      </c>
      <c r="H85" s="83">
        <v>25</v>
      </c>
      <c r="I85" s="84" t="s">
        <v>13</v>
      </c>
      <c r="J85" s="135">
        <f t="shared" si="15"/>
        <v>0.22500000000000001</v>
      </c>
      <c r="K85" s="134">
        <f t="shared" si="16"/>
        <v>9</v>
      </c>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row>
    <row r="86" spans="2:44" ht="13.8" x14ac:dyDescent="0.3">
      <c r="B86" s="149" t="s">
        <v>348</v>
      </c>
      <c r="C86" s="150" t="s">
        <v>13</v>
      </c>
      <c r="D86" s="92">
        <v>0.61</v>
      </c>
      <c r="E86" s="147">
        <f>25</f>
        <v>25</v>
      </c>
      <c r="F86" s="106" t="s">
        <v>13</v>
      </c>
      <c r="G86" s="107">
        <v>0.61</v>
      </c>
      <c r="H86" s="147">
        <v>25</v>
      </c>
      <c r="I86" s="148" t="s">
        <v>13</v>
      </c>
      <c r="J86" s="136">
        <f t="shared" si="15"/>
        <v>0.22500000000000001</v>
      </c>
      <c r="K86" s="151">
        <f t="shared" si="16"/>
        <v>9</v>
      </c>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row>
    <row r="87" spans="2:44" ht="13.8" x14ac:dyDescent="0.3">
      <c r="B87" s="137"/>
      <c r="C87" s="40"/>
      <c r="D87" s="340"/>
      <c r="E87" s="341"/>
      <c r="F87" s="109"/>
      <c r="G87" s="342"/>
      <c r="H87" s="341"/>
      <c r="I87" s="343"/>
      <c r="J87" s="342"/>
      <c r="K87" s="342"/>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row>
    <row r="88" spans="2:44" ht="13.8" x14ac:dyDescent="0.3">
      <c r="B88" s="137"/>
      <c r="C88" s="344"/>
      <c r="D88" s="340" t="s">
        <v>592</v>
      </c>
      <c r="E88" s="341"/>
      <c r="F88" s="109"/>
      <c r="G88" s="342"/>
      <c r="H88" s="341"/>
      <c r="I88" s="343"/>
      <c r="J88" s="342"/>
      <c r="K88" s="342"/>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row>
    <row r="89" spans="2:44" ht="41.4" x14ac:dyDescent="0.3">
      <c r="B89" s="137"/>
      <c r="C89" s="345"/>
      <c r="D89" s="346" t="s">
        <v>593</v>
      </c>
      <c r="E89" s="108"/>
      <c r="F89" s="109"/>
      <c r="G89" s="109"/>
      <c r="H89" s="109"/>
      <c r="I89" s="11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row>
    <row r="90" spans="2:44" ht="13.8" x14ac:dyDescent="0.3">
      <c r="B90" s="137"/>
      <c r="C90" s="40"/>
      <c r="D90" s="108"/>
      <c r="E90" s="108"/>
      <c r="F90" s="109"/>
      <c r="G90" s="109"/>
      <c r="H90" s="109"/>
      <c r="I90" s="11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row>
    <row r="91" spans="2:44" ht="13.8" x14ac:dyDescent="0.3">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row>
    <row r="92" spans="2:44" ht="13.8" x14ac:dyDescent="0.3">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row>
    <row r="93" spans="2:44" ht="13.8" x14ac:dyDescent="0.3">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row>
    <row r="94" spans="2:44" ht="13.8" x14ac:dyDescent="0.3">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row>
    <row r="95" spans="2:44" ht="13.8" x14ac:dyDescent="0.3">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row>
    <row r="96" spans="2:44" ht="13.8" x14ac:dyDescent="0.3">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row>
    <row r="97" spans="2:42" ht="13.8" x14ac:dyDescent="0.3">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row>
    <row r="98" spans="2:42" ht="13.8" x14ac:dyDescent="0.3">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row>
    <row r="99" spans="2:42" ht="13.8" x14ac:dyDescent="0.3">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row>
    <row r="100" spans="2:42" ht="13.8" x14ac:dyDescent="0.3">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row>
    <row r="101" spans="2:42" ht="13.8" x14ac:dyDescent="0.3">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row>
    <row r="102" spans="2:42" ht="13.8" x14ac:dyDescent="0.3">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row>
    <row r="103" spans="2:42" ht="13.8" x14ac:dyDescent="0.3">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row>
    <row r="104" spans="2:42" ht="13.8" x14ac:dyDescent="0.3">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row>
    <row r="105" spans="2:42" ht="13.8" x14ac:dyDescent="0.3">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row>
    <row r="106" spans="2:42" ht="13.8" x14ac:dyDescent="0.3">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row>
    <row r="107" spans="2:42" ht="13.8" x14ac:dyDescent="0.3">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row>
    <row r="108" spans="2:42" ht="13.8" x14ac:dyDescent="0.3">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row>
    <row r="109" spans="2:42" ht="13.8" x14ac:dyDescent="0.3">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row>
    <row r="110" spans="2:42" ht="13.8" x14ac:dyDescent="0.3">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row>
    <row r="111" spans="2:42" ht="13.8" x14ac:dyDescent="0.3">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row>
    <row r="112" spans="2:42" ht="13.8" x14ac:dyDescent="0.3">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row>
    <row r="113" spans="2:42" ht="13.8" x14ac:dyDescent="0.3">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row>
    <row r="114" spans="2:42" ht="13.8" x14ac:dyDescent="0.3">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row>
    <row r="115" spans="2:42" ht="13.8" x14ac:dyDescent="0.3">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row>
    <row r="116" spans="2:42" ht="13.8" x14ac:dyDescent="0.3">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row>
    <row r="117" spans="2:42" ht="13.8" x14ac:dyDescent="0.3">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row>
    <row r="118" spans="2:42" ht="13.8" x14ac:dyDescent="0.3">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row>
    <row r="119" spans="2:42" ht="13.8" x14ac:dyDescent="0.3">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row>
    <row r="120" spans="2:42" ht="13.8" x14ac:dyDescent="0.3">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row>
    <row r="121" spans="2:42" ht="13.8" x14ac:dyDescent="0.3">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row>
    <row r="122" spans="2:42" ht="13.8" x14ac:dyDescent="0.3">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row>
    <row r="123" spans="2:42" ht="13.8" x14ac:dyDescent="0.3">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row>
    <row r="124" spans="2:42" ht="13.8" x14ac:dyDescent="0.3">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row>
    <row r="125" spans="2:42" ht="13.8" x14ac:dyDescent="0.3">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row>
    <row r="126" spans="2:42" ht="13.8" x14ac:dyDescent="0.3">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row>
    <row r="127" spans="2:42" ht="13.8" x14ac:dyDescent="0.3">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row>
    <row r="128" spans="2:42" ht="13.8" x14ac:dyDescent="0.3">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row>
    <row r="129" spans="2:42" ht="13.8" x14ac:dyDescent="0.3">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row>
    <row r="130" spans="2:42" ht="13.8" x14ac:dyDescent="0.3">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row>
    <row r="131" spans="2:42" ht="13.8" x14ac:dyDescent="0.3">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row>
    <row r="132" spans="2:42" ht="13.8" x14ac:dyDescent="0.3">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row>
    <row r="133" spans="2:42" ht="13.8" x14ac:dyDescent="0.3">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row>
    <row r="134" spans="2:42" ht="13.8" x14ac:dyDescent="0.3">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row>
    <row r="135" spans="2:42" ht="13.8" x14ac:dyDescent="0.3">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row>
    <row r="136" spans="2:42" ht="13.8" x14ac:dyDescent="0.3">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row>
    <row r="137" spans="2:42" ht="13.8" x14ac:dyDescent="0.3">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row>
    <row r="138" spans="2:42" ht="13.8" x14ac:dyDescent="0.3">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row>
    <row r="139" spans="2:42" ht="13.8" x14ac:dyDescent="0.3">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row>
    <row r="140" spans="2:42" ht="13.8" x14ac:dyDescent="0.3">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row>
    <row r="141" spans="2:42" ht="13.8" x14ac:dyDescent="0.3">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row>
    <row r="142" spans="2:42" ht="13.8" x14ac:dyDescent="0.3">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row>
    <row r="143" spans="2:42" ht="13.8" x14ac:dyDescent="0.3">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row>
    <row r="144" spans="2:42" ht="13.8" x14ac:dyDescent="0.3">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row>
    <row r="145" spans="2:42" ht="13.8" x14ac:dyDescent="0.3">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row>
    <row r="146" spans="2:42" ht="13.8" x14ac:dyDescent="0.3">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row>
    <row r="147" spans="2:42" ht="13.8" x14ac:dyDescent="0.3">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row>
    <row r="148" spans="2:42" ht="13.8" x14ac:dyDescent="0.3">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row>
    <row r="149" spans="2:42" ht="13.8" x14ac:dyDescent="0.3">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row>
    <row r="150" spans="2:42" ht="13.8" x14ac:dyDescent="0.3">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row>
    <row r="151" spans="2:42" ht="13.8" x14ac:dyDescent="0.3">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row>
    <row r="152" spans="2:42" ht="13.8" x14ac:dyDescent="0.3">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row>
    <row r="153" spans="2:42" ht="13.8" x14ac:dyDescent="0.3">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row>
    <row r="154" spans="2:42" ht="13.8" x14ac:dyDescent="0.3">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row>
    <row r="155" spans="2:42" ht="13.8" x14ac:dyDescent="0.3">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row>
    <row r="156" spans="2:42" ht="13.8" x14ac:dyDescent="0.3">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row>
    <row r="157" spans="2:42" ht="13.8" x14ac:dyDescent="0.3">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row>
    <row r="158" spans="2:42" ht="13.8" x14ac:dyDescent="0.3">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row>
    <row r="159" spans="2:42" ht="13.8" x14ac:dyDescent="0.3">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row>
    <row r="160" spans="2:42" ht="13.8" x14ac:dyDescent="0.3">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row>
    <row r="161" spans="2:42" ht="13.8" x14ac:dyDescent="0.3">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row>
    <row r="162" spans="2:42" ht="13.8" x14ac:dyDescent="0.3">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row>
    <row r="163" spans="2:42" ht="13.8" x14ac:dyDescent="0.3">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row>
    <row r="164" spans="2:42" ht="13.8" x14ac:dyDescent="0.3">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row>
    <row r="165" spans="2:42" ht="13.8" x14ac:dyDescent="0.3">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row>
    <row r="166" spans="2:42" ht="13.8" x14ac:dyDescent="0.3">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row>
    <row r="167" spans="2:42" ht="13.8" x14ac:dyDescent="0.3">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row>
    <row r="168" spans="2:42" ht="13.8" x14ac:dyDescent="0.3">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row>
    <row r="169" spans="2:42" ht="13.8" x14ac:dyDescent="0.3">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row>
    <row r="170" spans="2:42" ht="13.8" x14ac:dyDescent="0.3">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row>
    <row r="171" spans="2:42" ht="13.8" x14ac:dyDescent="0.3">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row>
    <row r="172" spans="2:42" ht="13.8" x14ac:dyDescent="0.3">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row>
    <row r="173" spans="2:42" ht="13.8" x14ac:dyDescent="0.3">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row>
    <row r="174" spans="2:42" ht="13.8" x14ac:dyDescent="0.3">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row>
    <row r="175" spans="2:42" ht="13.8" x14ac:dyDescent="0.3">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row>
    <row r="176" spans="2:42" ht="13.8" x14ac:dyDescent="0.3">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row>
    <row r="177" spans="2:42" ht="13.8" x14ac:dyDescent="0.3">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row>
    <row r="178" spans="2:42" ht="13.8" x14ac:dyDescent="0.3">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row>
    <row r="179" spans="2:42" ht="13.8" x14ac:dyDescent="0.3">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row>
    <row r="180" spans="2:42" ht="13.8" x14ac:dyDescent="0.3">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row>
    <row r="181" spans="2:42" ht="13.8" x14ac:dyDescent="0.3">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row>
    <row r="182" spans="2:42" ht="13.8" x14ac:dyDescent="0.3">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row>
    <row r="183" spans="2:42" ht="13.8" x14ac:dyDescent="0.3">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row>
    <row r="184" spans="2:42" ht="13.8" x14ac:dyDescent="0.3">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row>
    <row r="185" spans="2:42" ht="13.8" x14ac:dyDescent="0.3">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row>
    <row r="186" spans="2:42" ht="13.8" x14ac:dyDescent="0.3">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row>
    <row r="187" spans="2:42" ht="13.8" x14ac:dyDescent="0.3">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row>
    <row r="188" spans="2:42" ht="13.8" x14ac:dyDescent="0.3">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row>
    <row r="189" spans="2:42" ht="13.8" x14ac:dyDescent="0.3">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row>
    <row r="190" spans="2:42" ht="13.8" x14ac:dyDescent="0.3">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row>
    <row r="191" spans="2:42" ht="13.8" x14ac:dyDescent="0.3">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row>
    <row r="192" spans="2:42" ht="13.8" x14ac:dyDescent="0.3">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row>
    <row r="193" spans="2:42" ht="13.8" x14ac:dyDescent="0.3">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row>
    <row r="194" spans="2:42" ht="13.8" x14ac:dyDescent="0.3">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row>
    <row r="195" spans="2:42" ht="13.8" x14ac:dyDescent="0.3">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row>
    <row r="196" spans="2:42" ht="13.8" x14ac:dyDescent="0.3">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row>
    <row r="197" spans="2:42" ht="13.8" x14ac:dyDescent="0.3">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row>
    <row r="198" spans="2:42" ht="13.8" x14ac:dyDescent="0.3">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row>
    <row r="199" spans="2:42" ht="13.8" x14ac:dyDescent="0.3">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row>
    <row r="200" spans="2:42" ht="13.8" x14ac:dyDescent="0.3">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row>
    <row r="201" spans="2:42" ht="13.8" x14ac:dyDescent="0.3">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row>
    <row r="202" spans="2:42" ht="13.8" x14ac:dyDescent="0.3">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row>
    <row r="203" spans="2:42" ht="13.8" x14ac:dyDescent="0.3">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row>
    <row r="204" spans="2:42" ht="13.8" x14ac:dyDescent="0.3">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row>
    <row r="205" spans="2:42" ht="13.8" x14ac:dyDescent="0.3">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row>
    <row r="206" spans="2:42" ht="13.8" x14ac:dyDescent="0.3">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row>
    <row r="207" spans="2:42" ht="13.8" x14ac:dyDescent="0.3">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row>
    <row r="208" spans="2:42" ht="13.8" x14ac:dyDescent="0.3">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row>
    <row r="209" spans="2:42" ht="13.8" x14ac:dyDescent="0.3">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row>
    <row r="210" spans="2:42" ht="13.8" x14ac:dyDescent="0.3">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row>
    <row r="211" spans="2:42" ht="13.8" x14ac:dyDescent="0.3">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row>
    <row r="212" spans="2:42" ht="13.8" x14ac:dyDescent="0.3">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row>
    <row r="213" spans="2:42" ht="13.8" x14ac:dyDescent="0.3">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row>
    <row r="214" spans="2:42" ht="13.8" x14ac:dyDescent="0.3">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row>
    <row r="215" spans="2:42" ht="13.8" x14ac:dyDescent="0.3">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row>
    <row r="216" spans="2:42" ht="13.8" x14ac:dyDescent="0.3">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row>
    <row r="217" spans="2:42" ht="13.8" x14ac:dyDescent="0.3">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row>
    <row r="218" spans="2:42" ht="13.8" x14ac:dyDescent="0.3">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row>
    <row r="219" spans="2:42" ht="13.8" x14ac:dyDescent="0.3">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row>
    <row r="220" spans="2:42" ht="13.8" x14ac:dyDescent="0.3">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row>
    <row r="221" spans="2:42" ht="13.8" x14ac:dyDescent="0.3">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row>
    <row r="222" spans="2:42" ht="13.8" x14ac:dyDescent="0.3">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row>
    <row r="223" spans="2:42" ht="13.8" x14ac:dyDescent="0.3">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row>
    <row r="224" spans="2:42" ht="13.8" x14ac:dyDescent="0.3">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row>
    <row r="225" spans="2:42" ht="13.8" x14ac:dyDescent="0.3">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row>
    <row r="226" spans="2:42" ht="13.8" x14ac:dyDescent="0.3">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row>
    <row r="227" spans="2:42" ht="13.8" x14ac:dyDescent="0.3">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row>
    <row r="228" spans="2:42" ht="13.8" x14ac:dyDescent="0.3">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row>
    <row r="229" spans="2:42" ht="13.8" x14ac:dyDescent="0.3">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row>
    <row r="230" spans="2:42" ht="13.8" x14ac:dyDescent="0.3">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row>
    <row r="231" spans="2:42" ht="13.8" x14ac:dyDescent="0.3">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row>
    <row r="232" spans="2:42" ht="13.8" x14ac:dyDescent="0.3">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row>
    <row r="233" spans="2:42" ht="13.8" x14ac:dyDescent="0.3">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row>
    <row r="234" spans="2:42" ht="13.8" x14ac:dyDescent="0.3">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row>
    <row r="235" spans="2:42" ht="13.8" x14ac:dyDescent="0.3">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row>
    <row r="236" spans="2:42" ht="13.8" x14ac:dyDescent="0.3">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row>
    <row r="237" spans="2:42" ht="13.8" x14ac:dyDescent="0.3">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row>
    <row r="238" spans="2:42" ht="13.8" x14ac:dyDescent="0.3">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row>
    <row r="239" spans="2:42" ht="13.8" x14ac:dyDescent="0.3">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row>
    <row r="240" spans="2:42" ht="13.8" x14ac:dyDescent="0.3">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row>
    <row r="241" spans="2:42" ht="13.8" x14ac:dyDescent="0.3">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row>
    <row r="242" spans="2:42" ht="13.8" x14ac:dyDescent="0.3">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row>
    <row r="243" spans="2:42" ht="13.8" x14ac:dyDescent="0.3">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row>
    <row r="244" spans="2:42" ht="13.8" x14ac:dyDescent="0.3">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row>
    <row r="245" spans="2:42" ht="13.8" x14ac:dyDescent="0.3">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row>
    <row r="246" spans="2:42" ht="13.8" x14ac:dyDescent="0.3">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row>
    <row r="247" spans="2:42" ht="13.8" x14ac:dyDescent="0.3">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row>
    <row r="248" spans="2:42" ht="13.8" x14ac:dyDescent="0.3">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row>
    <row r="249" spans="2:42" ht="13.8" x14ac:dyDescent="0.3">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row>
    <row r="250" spans="2:42" ht="13.8" x14ac:dyDescent="0.3">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row>
    <row r="251" spans="2:42" ht="13.8" x14ac:dyDescent="0.3">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row>
    <row r="252" spans="2:42" ht="13.8" x14ac:dyDescent="0.3">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row>
    <row r="253" spans="2:42" ht="13.8" x14ac:dyDescent="0.3">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row>
    <row r="254" spans="2:42" ht="13.8" x14ac:dyDescent="0.3">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row>
    <row r="255" spans="2:42" ht="13.8" x14ac:dyDescent="0.3">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row>
    <row r="256" spans="2:42" ht="13.8" x14ac:dyDescent="0.3">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row>
    <row r="257" spans="2:42" ht="13.8" x14ac:dyDescent="0.3">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row>
    <row r="258" spans="2:42" ht="13.8" x14ac:dyDescent="0.3">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row>
    <row r="259" spans="2:42" ht="13.8" x14ac:dyDescent="0.3">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row>
    <row r="260" spans="2:42" ht="13.8" x14ac:dyDescent="0.3">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row>
    <row r="261" spans="2:42" ht="13.8" x14ac:dyDescent="0.3">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row>
    <row r="262" spans="2:42" ht="13.8" x14ac:dyDescent="0.3">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row>
    <row r="263" spans="2:42" ht="13.8" x14ac:dyDescent="0.3">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row>
    <row r="264" spans="2:42" ht="13.8" x14ac:dyDescent="0.3">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row>
    <row r="265" spans="2:42" ht="13.8" x14ac:dyDescent="0.3">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row>
    <row r="266" spans="2:42" ht="13.8" x14ac:dyDescent="0.3">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row>
    <row r="267" spans="2:42" ht="13.8" x14ac:dyDescent="0.3">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row>
    <row r="268" spans="2:42" ht="13.8" x14ac:dyDescent="0.3">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row>
    <row r="269" spans="2:42" ht="13.8" x14ac:dyDescent="0.3">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row>
    <row r="270" spans="2:42" ht="13.8" x14ac:dyDescent="0.3">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row>
    <row r="271" spans="2:42" ht="13.8" x14ac:dyDescent="0.3">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row>
    <row r="272" spans="2:42" ht="13.8" x14ac:dyDescent="0.3">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row>
    <row r="273" spans="2:42" ht="13.8" x14ac:dyDescent="0.3">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row>
    <row r="274" spans="2:42" ht="13.8" x14ac:dyDescent="0.3">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row>
    <row r="275" spans="2:42" ht="13.8" x14ac:dyDescent="0.3">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row>
    <row r="276" spans="2:42" ht="13.8" x14ac:dyDescent="0.3">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row>
    <row r="277" spans="2:42" ht="13.8" x14ac:dyDescent="0.3">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row>
    <row r="278" spans="2:42" ht="13.8" x14ac:dyDescent="0.3">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row>
    <row r="279" spans="2:42" ht="13.8" x14ac:dyDescent="0.3">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row>
    <row r="280" spans="2:42" ht="13.8" x14ac:dyDescent="0.3">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row>
    <row r="281" spans="2:42" ht="13.8" x14ac:dyDescent="0.3">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row>
    <row r="282" spans="2:42" ht="13.8" x14ac:dyDescent="0.3">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row>
    <row r="283" spans="2:42" ht="13.8" x14ac:dyDescent="0.3">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row>
    <row r="284" spans="2:42" ht="13.8" x14ac:dyDescent="0.3">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row>
    <row r="285" spans="2:42" ht="13.8" x14ac:dyDescent="0.3">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row>
    <row r="286" spans="2:42" ht="13.8" x14ac:dyDescent="0.3">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row>
    <row r="287" spans="2:42" ht="13.8" x14ac:dyDescent="0.3">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row>
    <row r="288" spans="2:42" ht="13.8" x14ac:dyDescent="0.3">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row>
    <row r="289" spans="2:42" ht="13.8" x14ac:dyDescent="0.3">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row>
    <row r="290" spans="2:42" ht="13.8" x14ac:dyDescent="0.3">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row>
    <row r="291" spans="2:42" ht="13.8" x14ac:dyDescent="0.3">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row>
    <row r="292" spans="2:42" ht="13.8" x14ac:dyDescent="0.3">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row>
    <row r="293" spans="2:42" ht="13.8" x14ac:dyDescent="0.3">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row>
    <row r="294" spans="2:42" ht="13.8" x14ac:dyDescent="0.3">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row>
    <row r="295" spans="2:42" ht="13.8" x14ac:dyDescent="0.3">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row>
    <row r="296" spans="2:42" ht="13.8" x14ac:dyDescent="0.3">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row>
    <row r="297" spans="2:42" ht="13.8" x14ac:dyDescent="0.3">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row>
    <row r="298" spans="2:42" ht="13.8" x14ac:dyDescent="0.3">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row>
    <row r="299" spans="2:42" ht="13.8" x14ac:dyDescent="0.3">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row>
    <row r="300" spans="2:42" ht="13.8" x14ac:dyDescent="0.3">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row>
    <row r="301" spans="2:42" ht="13.8" x14ac:dyDescent="0.3">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row>
    <row r="302" spans="2:42" ht="13.8" x14ac:dyDescent="0.3">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row>
    <row r="303" spans="2:42" ht="13.8" x14ac:dyDescent="0.3">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row>
    <row r="304" spans="2:42" ht="13.8" x14ac:dyDescent="0.3">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row>
    <row r="305" spans="2:42" ht="13.8" x14ac:dyDescent="0.3">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row>
    <row r="306" spans="2:42" ht="13.8" x14ac:dyDescent="0.3">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row>
    <row r="307" spans="2:42" ht="13.8" x14ac:dyDescent="0.3">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row>
    <row r="308" spans="2:42" ht="13.8" x14ac:dyDescent="0.3">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row>
    <row r="309" spans="2:42" ht="13.8" x14ac:dyDescent="0.3">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row>
    <row r="310" spans="2:42" ht="13.8" x14ac:dyDescent="0.3">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row>
    <row r="311" spans="2:42" ht="13.8" x14ac:dyDescent="0.3">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row>
    <row r="312" spans="2:42" ht="13.8" x14ac:dyDescent="0.3">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row>
    <row r="313" spans="2:42" ht="13.8" x14ac:dyDescent="0.3">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row>
    <row r="314" spans="2:42" ht="13.8" x14ac:dyDescent="0.3">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row>
    <row r="315" spans="2:42" ht="13.8" x14ac:dyDescent="0.3">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row>
    <row r="316" spans="2:42" ht="13.8" x14ac:dyDescent="0.3">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row>
    <row r="317" spans="2:42" ht="13.8" x14ac:dyDescent="0.3">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row>
    <row r="318" spans="2:42" ht="13.8" x14ac:dyDescent="0.3">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row>
    <row r="319" spans="2:42" ht="13.8" x14ac:dyDescent="0.3">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row>
    <row r="320" spans="2:42" ht="13.8" x14ac:dyDescent="0.3">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row>
    <row r="321" spans="2:42" ht="13.8" x14ac:dyDescent="0.3">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row>
    <row r="322" spans="2:42" ht="13.8" x14ac:dyDescent="0.3">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row>
    <row r="323" spans="2:42" ht="13.8" x14ac:dyDescent="0.3">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row>
    <row r="324" spans="2:42" ht="13.8" x14ac:dyDescent="0.3">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row>
    <row r="325" spans="2:42" ht="13.8" x14ac:dyDescent="0.3">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row>
    <row r="326" spans="2:42" ht="13.8" x14ac:dyDescent="0.3">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row>
    <row r="327" spans="2:42" ht="13.8" x14ac:dyDescent="0.3">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row>
    <row r="328" spans="2:42" ht="13.8" x14ac:dyDescent="0.3">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row>
    <row r="329" spans="2:42" ht="13.8" x14ac:dyDescent="0.3">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row>
    <row r="330" spans="2:42" ht="13.8" x14ac:dyDescent="0.3">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row>
    <row r="331" spans="2:42" ht="13.8" x14ac:dyDescent="0.3">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row>
    <row r="332" spans="2:42" ht="13.8" x14ac:dyDescent="0.3">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row>
    <row r="333" spans="2:42" ht="13.8" x14ac:dyDescent="0.3">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row>
    <row r="334" spans="2:42" ht="13.8" x14ac:dyDescent="0.3">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row>
    <row r="335" spans="2:42" ht="13.8" x14ac:dyDescent="0.3">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row>
    <row r="336" spans="2:42" ht="13.8" x14ac:dyDescent="0.3">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row>
    <row r="337" spans="2:42" ht="13.8" x14ac:dyDescent="0.3">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row>
    <row r="338" spans="2:42" ht="13.8" x14ac:dyDescent="0.3">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row>
    <row r="339" spans="2:42" ht="13.8" x14ac:dyDescent="0.3">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row>
    <row r="340" spans="2:42" ht="13.8" x14ac:dyDescent="0.3">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row>
    <row r="341" spans="2:42" ht="13.8" x14ac:dyDescent="0.3">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row>
    <row r="342" spans="2:42" ht="13.8" x14ac:dyDescent="0.3">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row>
    <row r="343" spans="2:42" ht="13.8" x14ac:dyDescent="0.3">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row>
    <row r="344" spans="2:42" ht="13.8" x14ac:dyDescent="0.3">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row>
    <row r="345" spans="2:42" ht="13.8" x14ac:dyDescent="0.3">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row>
    <row r="346" spans="2:42" ht="13.8" x14ac:dyDescent="0.3">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row>
    <row r="347" spans="2:42" ht="13.8" x14ac:dyDescent="0.3">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row>
    <row r="348" spans="2:42" ht="13.8" x14ac:dyDescent="0.3">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row>
    <row r="349" spans="2:42" ht="13.8" x14ac:dyDescent="0.3">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row>
    <row r="350" spans="2:42" ht="13.8" x14ac:dyDescent="0.3">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row>
    <row r="351" spans="2:42" ht="13.8" x14ac:dyDescent="0.3">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row>
    <row r="352" spans="2:42" ht="13.8" x14ac:dyDescent="0.3">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row>
    <row r="353" spans="2:42" ht="13.8" x14ac:dyDescent="0.3">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row>
    <row r="354" spans="2:42" ht="13.8" x14ac:dyDescent="0.3">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row>
    <row r="355" spans="2:42" ht="13.8" x14ac:dyDescent="0.3">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row>
    <row r="356" spans="2:42" ht="13.8" x14ac:dyDescent="0.3">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row>
    <row r="357" spans="2:42" ht="13.8" x14ac:dyDescent="0.3">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row>
    <row r="358" spans="2:42" ht="13.8" x14ac:dyDescent="0.3">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row>
    <row r="359" spans="2:42" ht="13.8" x14ac:dyDescent="0.3">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row>
    <row r="360" spans="2:42" ht="13.8" x14ac:dyDescent="0.3">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row>
    <row r="361" spans="2:42" ht="13.8" x14ac:dyDescent="0.3">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row>
    <row r="362" spans="2:42" ht="13.8" x14ac:dyDescent="0.3">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row>
    <row r="363" spans="2:42" ht="13.8" x14ac:dyDescent="0.3">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row>
    <row r="364" spans="2:42" ht="13.8" x14ac:dyDescent="0.3">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row>
    <row r="365" spans="2:42" ht="13.8" x14ac:dyDescent="0.3">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row>
    <row r="366" spans="2:42" ht="13.8" x14ac:dyDescent="0.3">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row>
    <row r="367" spans="2:42" ht="13.8" x14ac:dyDescent="0.3">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row>
    <row r="368" spans="2:42" ht="13.8" x14ac:dyDescent="0.3">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row>
    <row r="369" spans="2:42" ht="13.8" x14ac:dyDescent="0.3">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row>
    <row r="370" spans="2:42" ht="13.8" x14ac:dyDescent="0.3">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row>
    <row r="371" spans="2:42" ht="13.8" x14ac:dyDescent="0.3">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row>
    <row r="372" spans="2:42" ht="13.8" x14ac:dyDescent="0.3">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row>
    <row r="373" spans="2:42" ht="13.8" x14ac:dyDescent="0.3">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row>
    <row r="374" spans="2:42" ht="13.8" x14ac:dyDescent="0.3">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row>
    <row r="375" spans="2:42" ht="13.8" x14ac:dyDescent="0.3">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row>
    <row r="376" spans="2:42" ht="13.8" x14ac:dyDescent="0.3">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row>
    <row r="377" spans="2:42" ht="13.8" x14ac:dyDescent="0.3">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row>
    <row r="378" spans="2:42" ht="13.8" x14ac:dyDescent="0.3">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row>
    <row r="379" spans="2:42" ht="13.8" x14ac:dyDescent="0.3">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row>
    <row r="380" spans="2:42" ht="13.8" x14ac:dyDescent="0.3">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row>
    <row r="381" spans="2:42" ht="13.8" x14ac:dyDescent="0.3">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row>
    <row r="382" spans="2:42" ht="13.8" x14ac:dyDescent="0.3">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row>
    <row r="383" spans="2:42" ht="13.8" x14ac:dyDescent="0.3">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row>
    <row r="384" spans="2:42" ht="13.8" x14ac:dyDescent="0.3">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row>
    <row r="385" spans="2:42" ht="13.8" x14ac:dyDescent="0.3">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row>
    <row r="386" spans="2:42" ht="13.8" x14ac:dyDescent="0.3">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row>
    <row r="387" spans="2:42" ht="13.8" x14ac:dyDescent="0.3">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row>
    <row r="388" spans="2:42" ht="13.8" x14ac:dyDescent="0.3">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row>
    <row r="389" spans="2:42" ht="13.8" x14ac:dyDescent="0.3">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row>
    <row r="390" spans="2:42" ht="13.8" x14ac:dyDescent="0.3">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row>
    <row r="391" spans="2:42" ht="13.8" x14ac:dyDescent="0.3">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row>
    <row r="392" spans="2:42" ht="13.8" x14ac:dyDescent="0.3">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row>
    <row r="393" spans="2:42" ht="13.8" x14ac:dyDescent="0.3">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row>
    <row r="394" spans="2:42" ht="13.8" x14ac:dyDescent="0.3">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row>
    <row r="395" spans="2:42" ht="13.8" x14ac:dyDescent="0.3">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row>
    <row r="396" spans="2:42" ht="13.8" x14ac:dyDescent="0.3">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row>
    <row r="397" spans="2:42" ht="13.8" x14ac:dyDescent="0.3">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row>
    <row r="398" spans="2:42" ht="13.8" x14ac:dyDescent="0.3">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row>
    <row r="399" spans="2:42" ht="13.8" x14ac:dyDescent="0.3">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row>
    <row r="400" spans="2:42" ht="13.8" x14ac:dyDescent="0.3">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row>
    <row r="401" spans="2:42" ht="13.8" x14ac:dyDescent="0.3">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row>
    <row r="402" spans="2:42" ht="13.8" x14ac:dyDescent="0.3">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row>
    <row r="403" spans="2:42" ht="13.8" x14ac:dyDescent="0.3">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row>
    <row r="404" spans="2:42" ht="13.8" x14ac:dyDescent="0.3">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row>
    <row r="405" spans="2:42" ht="13.8" x14ac:dyDescent="0.3">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row>
    <row r="406" spans="2:42" ht="13.8" x14ac:dyDescent="0.3">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row>
    <row r="407" spans="2:42" ht="13.8" x14ac:dyDescent="0.3">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row>
    <row r="408" spans="2:42" ht="13.8" x14ac:dyDescent="0.3">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row>
    <row r="409" spans="2:42" ht="13.8" x14ac:dyDescent="0.3">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row>
    <row r="410" spans="2:42" ht="13.8" x14ac:dyDescent="0.3">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row>
    <row r="411" spans="2:42" ht="13.8" x14ac:dyDescent="0.3">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row>
    <row r="412" spans="2:42" ht="13.8" x14ac:dyDescent="0.3">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row>
    <row r="413" spans="2:42" ht="13.8" x14ac:dyDescent="0.3">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row>
    <row r="414" spans="2:42" ht="13.8" x14ac:dyDescent="0.3">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row>
    <row r="415" spans="2:42" ht="13.8" x14ac:dyDescent="0.3">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row>
    <row r="416" spans="2:42" ht="13.8" x14ac:dyDescent="0.3">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row>
    <row r="417" spans="2:42" ht="13.8" x14ac:dyDescent="0.3">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row>
    <row r="418" spans="2:42" ht="13.8" x14ac:dyDescent="0.3">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row>
    <row r="419" spans="2:42" ht="13.8" x14ac:dyDescent="0.3">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row>
    <row r="420" spans="2:42" ht="13.8" x14ac:dyDescent="0.3">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row>
    <row r="421" spans="2:42" ht="13.8" x14ac:dyDescent="0.3">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row>
    <row r="422" spans="2:42" ht="13.8" x14ac:dyDescent="0.3">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row>
    <row r="423" spans="2:42" ht="13.8" x14ac:dyDescent="0.3">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row>
    <row r="424" spans="2:42" ht="13.8" x14ac:dyDescent="0.3">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row>
    <row r="425" spans="2:42" ht="13.8" x14ac:dyDescent="0.3">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row>
    <row r="426" spans="2:42" ht="13.8" x14ac:dyDescent="0.3">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row>
    <row r="427" spans="2:42" ht="13.8" x14ac:dyDescent="0.3">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row>
    <row r="428" spans="2:42" ht="13.8" x14ac:dyDescent="0.3">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row>
    <row r="429" spans="2:42" ht="13.8" x14ac:dyDescent="0.3">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row>
    <row r="430" spans="2:42" ht="13.8" x14ac:dyDescent="0.3">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row>
    <row r="431" spans="2:42" ht="13.8" x14ac:dyDescent="0.3">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row>
    <row r="432" spans="2:42" ht="13.8" x14ac:dyDescent="0.3">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row>
    <row r="433" spans="2:42" ht="13.8" x14ac:dyDescent="0.3">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row>
    <row r="434" spans="2:42" ht="13.8" x14ac:dyDescent="0.3">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row>
    <row r="435" spans="2:42" ht="13.8" x14ac:dyDescent="0.3">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row>
    <row r="436" spans="2:42" ht="13.8" x14ac:dyDescent="0.3">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row>
    <row r="437" spans="2:42" ht="13.8" x14ac:dyDescent="0.3">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row>
    <row r="438" spans="2:42" ht="13.8" x14ac:dyDescent="0.3">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row>
    <row r="439" spans="2:42" ht="13.8" x14ac:dyDescent="0.3">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row>
    <row r="440" spans="2:42" ht="13.8" x14ac:dyDescent="0.3">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row>
    <row r="441" spans="2:42" ht="13.8" x14ac:dyDescent="0.3">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row>
    <row r="442" spans="2:42" ht="13.8" x14ac:dyDescent="0.3">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row>
    <row r="443" spans="2:42" ht="13.8" x14ac:dyDescent="0.3">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row>
    <row r="444" spans="2:42" ht="13.8" x14ac:dyDescent="0.3">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row>
    <row r="445" spans="2:42" ht="13.8" x14ac:dyDescent="0.3">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row>
    <row r="446" spans="2:42" ht="13.8" x14ac:dyDescent="0.3">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row>
    <row r="447" spans="2:42" ht="13.8" x14ac:dyDescent="0.3">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row>
    <row r="448" spans="2:42" ht="13.8" x14ac:dyDescent="0.3">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row>
    <row r="449" spans="2:42" ht="13.8" x14ac:dyDescent="0.3">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row>
    <row r="450" spans="2:42" ht="13.8" x14ac:dyDescent="0.3">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row>
    <row r="451" spans="2:42" ht="13.8" x14ac:dyDescent="0.3">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row>
    <row r="452" spans="2:42" ht="13.8" x14ac:dyDescent="0.3">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row>
    <row r="453" spans="2:42" ht="13.8" x14ac:dyDescent="0.3">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row>
    <row r="454" spans="2:42" ht="13.8" x14ac:dyDescent="0.3">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row>
    <row r="455" spans="2:42" ht="13.8" x14ac:dyDescent="0.3">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row>
    <row r="456" spans="2:42" ht="13.8" x14ac:dyDescent="0.3">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row>
    <row r="457" spans="2:42" ht="13.8" x14ac:dyDescent="0.3">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row>
    <row r="458" spans="2:42" ht="13.8" x14ac:dyDescent="0.3">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row>
    <row r="459" spans="2:42" ht="13.8" x14ac:dyDescent="0.3">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row>
    <row r="460" spans="2:42" ht="13.8" x14ac:dyDescent="0.3">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row>
    <row r="461" spans="2:42" ht="13.8" x14ac:dyDescent="0.3">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row>
    <row r="462" spans="2:42" ht="13.8" x14ac:dyDescent="0.3">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row>
    <row r="463" spans="2:42" ht="13.8" x14ac:dyDescent="0.3">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row>
    <row r="464" spans="2:42" ht="13.8" x14ac:dyDescent="0.3">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row>
    <row r="465" spans="2:42" ht="13.8" x14ac:dyDescent="0.3">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row>
    <row r="466" spans="2:42" ht="13.8" x14ac:dyDescent="0.3">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row>
    <row r="467" spans="2:42" ht="13.8" x14ac:dyDescent="0.3">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row>
    <row r="468" spans="2:42" ht="13.8" x14ac:dyDescent="0.3">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row>
    <row r="469" spans="2:42" ht="13.8" x14ac:dyDescent="0.3">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row>
    <row r="470" spans="2:42" ht="13.8" x14ac:dyDescent="0.3">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row>
    <row r="471" spans="2:42" ht="13.8" x14ac:dyDescent="0.3">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row>
    <row r="472" spans="2:42" ht="13.8" x14ac:dyDescent="0.3">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row>
    <row r="473" spans="2:42" ht="13.8" x14ac:dyDescent="0.3">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row>
    <row r="474" spans="2:42" ht="13.8" x14ac:dyDescent="0.3">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row>
    <row r="475" spans="2:42" ht="13.8" x14ac:dyDescent="0.3">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row>
    <row r="476" spans="2:42" ht="13.8" x14ac:dyDescent="0.3">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row>
    <row r="477" spans="2:42" ht="13.8" x14ac:dyDescent="0.3">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row>
    <row r="478" spans="2:42" ht="13.8" x14ac:dyDescent="0.3">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row>
    <row r="479" spans="2:42" ht="13.8" x14ac:dyDescent="0.3">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row>
    <row r="480" spans="2:42" ht="13.8" x14ac:dyDescent="0.3">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row>
    <row r="481" spans="2:42" ht="13.8" x14ac:dyDescent="0.3">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row>
    <row r="482" spans="2:42" ht="13.8" x14ac:dyDescent="0.3">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row>
    <row r="483" spans="2:42" ht="13.8" x14ac:dyDescent="0.3">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row>
    <row r="484" spans="2:42" ht="13.8" x14ac:dyDescent="0.3">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row>
    <row r="485" spans="2:42" ht="13.8" x14ac:dyDescent="0.3">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row>
    <row r="486" spans="2:42" ht="13.8" x14ac:dyDescent="0.3">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row>
    <row r="487" spans="2:42" ht="13.8" x14ac:dyDescent="0.3">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row>
    <row r="488" spans="2:42" ht="13.8" x14ac:dyDescent="0.3">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row>
    <row r="489" spans="2:42" ht="13.8" x14ac:dyDescent="0.3">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row>
    <row r="490" spans="2:42" ht="13.8" x14ac:dyDescent="0.3">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row>
    <row r="491" spans="2:42" ht="13.8" x14ac:dyDescent="0.3">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row>
    <row r="492" spans="2:42" ht="13.8" x14ac:dyDescent="0.3">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row>
    <row r="493" spans="2:42" ht="13.8" x14ac:dyDescent="0.3">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row>
    <row r="494" spans="2:42" ht="13.8" x14ac:dyDescent="0.3">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row>
    <row r="495" spans="2:42" ht="13.8" x14ac:dyDescent="0.3">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row>
    <row r="496" spans="2:42" ht="13.8" x14ac:dyDescent="0.3">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row>
    <row r="497" spans="2:42" ht="13.8" x14ac:dyDescent="0.3">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row>
    <row r="498" spans="2:42" ht="13.8" x14ac:dyDescent="0.3">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row>
    <row r="499" spans="2:42" ht="13.8" x14ac:dyDescent="0.3">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row>
    <row r="500" spans="2:42" ht="13.8" x14ac:dyDescent="0.3">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row>
    <row r="501" spans="2:42" ht="13.8" x14ac:dyDescent="0.3">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row>
    <row r="502" spans="2:42" ht="13.8" x14ac:dyDescent="0.3">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row>
    <row r="503" spans="2:42" ht="13.8" x14ac:dyDescent="0.3">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row>
    <row r="504" spans="2:42" ht="13.8" x14ac:dyDescent="0.3">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row>
    <row r="505" spans="2:42" ht="13.8" x14ac:dyDescent="0.3">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row>
    <row r="506" spans="2:42" ht="13.8" x14ac:dyDescent="0.3">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row>
    <row r="507" spans="2:42" ht="13.8" x14ac:dyDescent="0.3">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row>
    <row r="508" spans="2:42" ht="13.8" x14ac:dyDescent="0.3">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row>
    <row r="509" spans="2:42" ht="13.8" x14ac:dyDescent="0.3">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row>
    <row r="510" spans="2:42" ht="13.8" x14ac:dyDescent="0.3">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row>
    <row r="511" spans="2:42" ht="13.8" x14ac:dyDescent="0.3">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row>
    <row r="512" spans="2:42" ht="13.8" x14ac:dyDescent="0.3">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row>
    <row r="513" spans="2:42" ht="13.8" x14ac:dyDescent="0.3">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row>
    <row r="514" spans="2:42" ht="13.8" x14ac:dyDescent="0.3">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row>
    <row r="515" spans="2:42" ht="13.8" x14ac:dyDescent="0.3">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row>
    <row r="516" spans="2:42" ht="13.8" x14ac:dyDescent="0.3">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row>
    <row r="517" spans="2:42" ht="13.8" x14ac:dyDescent="0.3">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row>
    <row r="518" spans="2:42" ht="13.8" x14ac:dyDescent="0.3">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row>
    <row r="519" spans="2:42" ht="13.8" x14ac:dyDescent="0.3">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row>
    <row r="520" spans="2:42" ht="13.8" x14ac:dyDescent="0.3">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row>
    <row r="521" spans="2:42" ht="13.8" x14ac:dyDescent="0.3">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row>
    <row r="522" spans="2:42" ht="13.8" x14ac:dyDescent="0.3">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row>
    <row r="523" spans="2:42" ht="13.8" x14ac:dyDescent="0.3">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row>
    <row r="524" spans="2:42" ht="13.8" x14ac:dyDescent="0.3">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row>
    <row r="525" spans="2:42" ht="13.8" x14ac:dyDescent="0.3">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row>
    <row r="526" spans="2:42" ht="13.8" x14ac:dyDescent="0.3">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row>
    <row r="527" spans="2:42" ht="13.8" x14ac:dyDescent="0.3">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row>
    <row r="528" spans="2:42" ht="13.8" x14ac:dyDescent="0.3">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row>
    <row r="529" spans="2:42" ht="13.8" x14ac:dyDescent="0.3">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row>
    <row r="530" spans="2:42" ht="13.8" x14ac:dyDescent="0.3">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row>
    <row r="531" spans="2:42" ht="13.8" x14ac:dyDescent="0.3">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row>
    <row r="532" spans="2:42" ht="13.8" x14ac:dyDescent="0.3">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row>
    <row r="533" spans="2:42" ht="13.8" x14ac:dyDescent="0.3">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row>
    <row r="534" spans="2:42" ht="13.8" x14ac:dyDescent="0.3">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row>
    <row r="535" spans="2:42" ht="13.8" x14ac:dyDescent="0.3">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row>
    <row r="536" spans="2:42" ht="13.8" x14ac:dyDescent="0.3">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row>
    <row r="537" spans="2:42" ht="13.8" x14ac:dyDescent="0.3">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row>
    <row r="538" spans="2:42" ht="13.8" x14ac:dyDescent="0.3">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row>
    <row r="539" spans="2:42" ht="13.8" x14ac:dyDescent="0.3">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row>
    <row r="540" spans="2:42" ht="13.8" x14ac:dyDescent="0.3">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row>
    <row r="541" spans="2:42" ht="13.8" x14ac:dyDescent="0.3">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row>
    <row r="542" spans="2:42" ht="13.8" x14ac:dyDescent="0.3">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row>
    <row r="543" spans="2:42" ht="13.8" x14ac:dyDescent="0.3">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row>
    <row r="544" spans="2:42" ht="13.8" x14ac:dyDescent="0.3">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row>
    <row r="545" spans="2:42" ht="13.8" x14ac:dyDescent="0.3">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row>
    <row r="546" spans="2:42" ht="13.8" x14ac:dyDescent="0.3">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row>
    <row r="547" spans="2:42" ht="13.8" x14ac:dyDescent="0.3">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row>
    <row r="548" spans="2:42" ht="13.8" x14ac:dyDescent="0.3">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row>
    <row r="549" spans="2:42" ht="13.8" x14ac:dyDescent="0.3">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row>
    <row r="550" spans="2:42" ht="13.8" x14ac:dyDescent="0.3">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row>
    <row r="551" spans="2:42" ht="13.8" x14ac:dyDescent="0.3">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row>
    <row r="552" spans="2:42" ht="13.8" x14ac:dyDescent="0.3">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row>
    <row r="553" spans="2:42" ht="13.8" x14ac:dyDescent="0.3">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row>
    <row r="554" spans="2:42" ht="13.8" x14ac:dyDescent="0.3">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row>
    <row r="555" spans="2:42" ht="13.8" x14ac:dyDescent="0.3">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row>
    <row r="556" spans="2:42" ht="13.8" x14ac:dyDescent="0.3">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row>
    <row r="557" spans="2:42" ht="13.8" x14ac:dyDescent="0.3">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row>
    <row r="558" spans="2:42" ht="13.8" x14ac:dyDescent="0.3">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row>
    <row r="559" spans="2:42" ht="13.8" x14ac:dyDescent="0.3">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row>
    <row r="560" spans="2:42" ht="13.8" x14ac:dyDescent="0.3">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row>
    <row r="561" spans="2:42" ht="13.8" x14ac:dyDescent="0.3">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row>
    <row r="562" spans="2:42" ht="13.8" x14ac:dyDescent="0.3">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row>
    <row r="563" spans="2:42" ht="13.8" x14ac:dyDescent="0.3">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row>
    <row r="564" spans="2:42" ht="13.8" x14ac:dyDescent="0.3">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row>
    <row r="565" spans="2:42" ht="13.8" x14ac:dyDescent="0.3">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row>
    <row r="566" spans="2:42" ht="13.8" x14ac:dyDescent="0.3">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row>
    <row r="567" spans="2:42" ht="13.8" x14ac:dyDescent="0.3">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row>
    <row r="568" spans="2:42" ht="13.8" x14ac:dyDescent="0.3">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row>
    <row r="569" spans="2:42" ht="13.8" x14ac:dyDescent="0.3">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row>
    <row r="570" spans="2:42" ht="13.8" x14ac:dyDescent="0.3">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row>
    <row r="571" spans="2:42" ht="13.8" x14ac:dyDescent="0.3">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row>
    <row r="572" spans="2:42" ht="13.8" x14ac:dyDescent="0.3">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row>
    <row r="573" spans="2:42" ht="13.8" x14ac:dyDescent="0.3">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row>
    <row r="574" spans="2:42" ht="13.8" x14ac:dyDescent="0.3">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row>
    <row r="575" spans="2:42" ht="13.8" x14ac:dyDescent="0.3">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row>
    <row r="576" spans="2:42" ht="13.8" x14ac:dyDescent="0.3">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row>
    <row r="577" spans="2:42" ht="13.8" x14ac:dyDescent="0.3">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row>
    <row r="578" spans="2:42" ht="13.8" x14ac:dyDescent="0.3">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row>
    <row r="579" spans="2:42" ht="13.8" x14ac:dyDescent="0.3">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row>
    <row r="580" spans="2:42" ht="13.8" x14ac:dyDescent="0.3">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row>
    <row r="581" spans="2:42" ht="13.8" x14ac:dyDescent="0.3">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row>
    <row r="582" spans="2:42" ht="13.8" x14ac:dyDescent="0.3">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row>
    <row r="583" spans="2:42" ht="13.8" x14ac:dyDescent="0.3">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row>
    <row r="584" spans="2:42" ht="13.8" x14ac:dyDescent="0.3">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row>
    <row r="585" spans="2:42" ht="13.8" x14ac:dyDescent="0.3">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row>
    <row r="586" spans="2:42" ht="13.8" x14ac:dyDescent="0.3">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row>
    <row r="587" spans="2:42" ht="13.8" x14ac:dyDescent="0.3">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row>
    <row r="588" spans="2:42" ht="13.8" x14ac:dyDescent="0.3">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row>
    <row r="589" spans="2:42" ht="13.8" x14ac:dyDescent="0.3">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row>
    <row r="590" spans="2:42" ht="13.8" x14ac:dyDescent="0.3">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row>
    <row r="591" spans="2:42" ht="13.8" x14ac:dyDescent="0.3">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row>
    <row r="592" spans="2:42" ht="13.8" x14ac:dyDescent="0.3">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row>
    <row r="593" spans="2:42" ht="13.8" x14ac:dyDescent="0.3">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row>
    <row r="594" spans="2:42" ht="13.8" x14ac:dyDescent="0.3">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row>
    <row r="595" spans="2:42" ht="13.8" x14ac:dyDescent="0.3">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row>
    <row r="596" spans="2:42" ht="13.8" x14ac:dyDescent="0.3">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row>
    <row r="597" spans="2:42" ht="13.8" x14ac:dyDescent="0.3">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row>
    <row r="598" spans="2:42" ht="13.8" x14ac:dyDescent="0.3">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row>
    <row r="599" spans="2:42" ht="13.8" x14ac:dyDescent="0.3">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row>
    <row r="600" spans="2:42" ht="13.8" x14ac:dyDescent="0.3">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row>
    <row r="601" spans="2:42" ht="13.8" x14ac:dyDescent="0.3">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row>
    <row r="602" spans="2:42" ht="13.8" x14ac:dyDescent="0.3">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row>
    <row r="603" spans="2:42" ht="13.8" x14ac:dyDescent="0.3">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row>
    <row r="604" spans="2:42" ht="13.8" x14ac:dyDescent="0.3">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row>
    <row r="605" spans="2:42" ht="13.8" x14ac:dyDescent="0.3">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row>
    <row r="606" spans="2:42" ht="13.8" x14ac:dyDescent="0.3">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row>
    <row r="607" spans="2:42" ht="13.8" x14ac:dyDescent="0.3">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row>
    <row r="608" spans="2:42" ht="13.8" x14ac:dyDescent="0.3">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row>
    <row r="609" spans="2:42" ht="13.8" x14ac:dyDescent="0.3">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row>
    <row r="610" spans="2:42" ht="13.8" x14ac:dyDescent="0.3">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row>
    <row r="611" spans="2:42" ht="13.8" x14ac:dyDescent="0.3">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row>
    <row r="612" spans="2:42" ht="13.8" x14ac:dyDescent="0.3">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row>
    <row r="613" spans="2:42" ht="13.8" x14ac:dyDescent="0.3">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row>
    <row r="614" spans="2:42" ht="13.8" x14ac:dyDescent="0.3">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row>
    <row r="615" spans="2:42" ht="13.8" x14ac:dyDescent="0.3">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row>
    <row r="616" spans="2:42" ht="13.8" x14ac:dyDescent="0.3">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row>
    <row r="617" spans="2:42" ht="13.8" x14ac:dyDescent="0.3">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row>
    <row r="618" spans="2:42" ht="13.8" x14ac:dyDescent="0.3">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row>
    <row r="619" spans="2:42" ht="13.8" x14ac:dyDescent="0.3">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row>
    <row r="620" spans="2:42" ht="13.8" x14ac:dyDescent="0.3">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row>
    <row r="621" spans="2:42" ht="13.8" x14ac:dyDescent="0.3">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row>
    <row r="622" spans="2:42" ht="13.8" x14ac:dyDescent="0.3">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row>
    <row r="623" spans="2:42" ht="13.8" x14ac:dyDescent="0.3">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row>
    <row r="624" spans="2:42" ht="13.8" x14ac:dyDescent="0.3">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row>
    <row r="625" spans="2:42" ht="13.8" x14ac:dyDescent="0.3">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row>
    <row r="626" spans="2:42" ht="13.8" x14ac:dyDescent="0.3">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row>
    <row r="627" spans="2:42" ht="13.8" x14ac:dyDescent="0.3">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row>
    <row r="628" spans="2:42" ht="13.8" x14ac:dyDescent="0.3">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row>
    <row r="629" spans="2:42" ht="13.8" x14ac:dyDescent="0.3">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row>
    <row r="630" spans="2:42" ht="13.8" x14ac:dyDescent="0.3">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row>
    <row r="631" spans="2:42" ht="13.8" x14ac:dyDescent="0.3">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row>
    <row r="632" spans="2:42" ht="13.8" x14ac:dyDescent="0.3">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row>
    <row r="633" spans="2:42" ht="13.8" x14ac:dyDescent="0.3">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row>
    <row r="634" spans="2:42" ht="13.8" x14ac:dyDescent="0.3">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row>
    <row r="635" spans="2:42" ht="13.8" x14ac:dyDescent="0.3">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row>
    <row r="636" spans="2:42" ht="13.8" x14ac:dyDescent="0.3">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row>
    <row r="637" spans="2:42" ht="13.8" x14ac:dyDescent="0.3">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row>
    <row r="638" spans="2:42" ht="13.8" x14ac:dyDescent="0.3">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row>
    <row r="639" spans="2:42" ht="13.8" x14ac:dyDescent="0.3">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row>
    <row r="640" spans="2:42" ht="13.8" x14ac:dyDescent="0.3">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row>
    <row r="641" spans="2:42" ht="13.8" x14ac:dyDescent="0.3">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row>
    <row r="642" spans="2:42" ht="13.8" x14ac:dyDescent="0.3">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row>
    <row r="643" spans="2:42" ht="13.8" x14ac:dyDescent="0.3">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row>
    <row r="644" spans="2:42" ht="13.8" x14ac:dyDescent="0.3">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row>
    <row r="645" spans="2:42" ht="13.8" x14ac:dyDescent="0.3">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row>
    <row r="646" spans="2:42" ht="13.8" x14ac:dyDescent="0.3">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row>
    <row r="647" spans="2:42" ht="13.8" x14ac:dyDescent="0.3">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row>
    <row r="648" spans="2:42" ht="13.8" x14ac:dyDescent="0.3">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row>
    <row r="649" spans="2:42" ht="13.8" x14ac:dyDescent="0.3">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row>
    <row r="650" spans="2:42" ht="13.8" x14ac:dyDescent="0.3">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row>
    <row r="651" spans="2:42" ht="13.8" x14ac:dyDescent="0.3">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row>
    <row r="652" spans="2:42" ht="13.8" x14ac:dyDescent="0.3">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row>
    <row r="653" spans="2:42" ht="13.8" x14ac:dyDescent="0.3">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row>
    <row r="654" spans="2:42" ht="13.8" x14ac:dyDescent="0.3">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row>
    <row r="655" spans="2:42" ht="13.8" x14ac:dyDescent="0.3">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row>
    <row r="656" spans="2:42" ht="13.8" x14ac:dyDescent="0.3">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row>
    <row r="657" spans="2:42" ht="13.8" x14ac:dyDescent="0.3">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row>
    <row r="658" spans="2:42" ht="13.8" x14ac:dyDescent="0.3">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row>
    <row r="659" spans="2:42" ht="13.8" x14ac:dyDescent="0.3">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row>
    <row r="660" spans="2:42" ht="13.8" x14ac:dyDescent="0.3">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row>
    <row r="661" spans="2:42" ht="13.8" x14ac:dyDescent="0.3">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row>
    <row r="662" spans="2:42" ht="13.8" x14ac:dyDescent="0.3">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row>
    <row r="663" spans="2:42" ht="13.8" x14ac:dyDescent="0.3">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row>
    <row r="664" spans="2:42" ht="13.8" x14ac:dyDescent="0.3">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row>
    <row r="665" spans="2:42" ht="13.8" x14ac:dyDescent="0.3">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row>
    <row r="666" spans="2:42" ht="13.8" x14ac:dyDescent="0.3">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row>
    <row r="667" spans="2:42" ht="13.8" x14ac:dyDescent="0.3">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row>
    <row r="668" spans="2:42" ht="13.8" x14ac:dyDescent="0.3">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row>
    <row r="669" spans="2:42" ht="13.8" x14ac:dyDescent="0.3">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row>
    <row r="670" spans="2:42" ht="13.8" x14ac:dyDescent="0.3">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row>
    <row r="671" spans="2:42" ht="13.8" x14ac:dyDescent="0.3">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row>
    <row r="672" spans="2:42" ht="13.8" x14ac:dyDescent="0.3">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row>
    <row r="673" spans="2:42" ht="13.8" x14ac:dyDescent="0.3">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row>
    <row r="674" spans="2:42" ht="13.8" x14ac:dyDescent="0.3">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row>
    <row r="675" spans="2:42" ht="13.8" x14ac:dyDescent="0.3">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row>
    <row r="676" spans="2:42" ht="13.8" x14ac:dyDescent="0.3">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row>
    <row r="677" spans="2:42" ht="13.8" x14ac:dyDescent="0.3">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row>
    <row r="678" spans="2:42" ht="13.8" x14ac:dyDescent="0.3">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row>
    <row r="679" spans="2:42" ht="13.8" x14ac:dyDescent="0.3">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row>
    <row r="680" spans="2:42" ht="13.8" x14ac:dyDescent="0.3">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row>
    <row r="681" spans="2:42" ht="13.8" x14ac:dyDescent="0.3">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row>
    <row r="682" spans="2:42" ht="13.8" x14ac:dyDescent="0.3">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row>
    <row r="683" spans="2:42" ht="13.8" x14ac:dyDescent="0.3">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row>
    <row r="684" spans="2:42" ht="13.8" x14ac:dyDescent="0.3">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row>
    <row r="685" spans="2:42" ht="13.8" x14ac:dyDescent="0.3">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row>
    <row r="686" spans="2:42" ht="13.8" x14ac:dyDescent="0.3">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row>
    <row r="687" spans="2:42" ht="13.8" x14ac:dyDescent="0.3">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row>
    <row r="688" spans="2:42" ht="13.8" x14ac:dyDescent="0.3">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row>
    <row r="689" spans="2:42" ht="13.8" x14ac:dyDescent="0.3">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row>
    <row r="690" spans="2:42" ht="13.8" x14ac:dyDescent="0.3">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row>
    <row r="691" spans="2:42" ht="13.8" x14ac:dyDescent="0.3">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row>
    <row r="692" spans="2:42" ht="13.8" x14ac:dyDescent="0.3">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row>
    <row r="693" spans="2:42" ht="13.8" x14ac:dyDescent="0.3">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row>
    <row r="694" spans="2:42" ht="13.8" x14ac:dyDescent="0.3">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row>
    <row r="695" spans="2:42" ht="13.8" x14ac:dyDescent="0.3">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row>
    <row r="696" spans="2:42" ht="13.8" x14ac:dyDescent="0.3">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row>
    <row r="697" spans="2:42" ht="13.8" x14ac:dyDescent="0.3">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row>
    <row r="698" spans="2:42" ht="13.8" x14ac:dyDescent="0.3">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row>
    <row r="699" spans="2:42" ht="13.8" x14ac:dyDescent="0.3">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row>
    <row r="700" spans="2:42" ht="13.8" x14ac:dyDescent="0.3">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row>
    <row r="701" spans="2:42" ht="13.8" x14ac:dyDescent="0.3">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row>
    <row r="702" spans="2:42" ht="13.8" x14ac:dyDescent="0.3">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row>
    <row r="703" spans="2:42" ht="13.8" x14ac:dyDescent="0.3">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row>
    <row r="704" spans="2:42" ht="13.8" x14ac:dyDescent="0.3">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row>
    <row r="705" spans="2:42" ht="13.8" x14ac:dyDescent="0.3">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row>
    <row r="706" spans="2:42" ht="13.8" x14ac:dyDescent="0.3">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row>
    <row r="707" spans="2:42" ht="13.8" x14ac:dyDescent="0.3">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row>
    <row r="708" spans="2:42" ht="13.8" x14ac:dyDescent="0.3">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row>
    <row r="709" spans="2:42" ht="13.8" x14ac:dyDescent="0.3">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row>
    <row r="710" spans="2:42" ht="13.8" x14ac:dyDescent="0.3">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row>
    <row r="711" spans="2:42" ht="13.8" x14ac:dyDescent="0.3">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row>
    <row r="712" spans="2:42" ht="13.8" x14ac:dyDescent="0.3">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row>
    <row r="713" spans="2:42" ht="13.8" x14ac:dyDescent="0.3">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row>
    <row r="714" spans="2:42" ht="13.8" x14ac:dyDescent="0.3">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row>
    <row r="715" spans="2:42" ht="13.8" x14ac:dyDescent="0.3">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row>
    <row r="716" spans="2:42" ht="13.8" x14ac:dyDescent="0.3">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row>
    <row r="717" spans="2:42" ht="13.8" x14ac:dyDescent="0.3">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row>
    <row r="718" spans="2:42" ht="13.8" x14ac:dyDescent="0.3">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row>
    <row r="719" spans="2:42" ht="13.8" x14ac:dyDescent="0.3">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row>
    <row r="720" spans="2:42" ht="13.8" x14ac:dyDescent="0.3">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row>
    <row r="721" spans="2:42" ht="13.8" x14ac:dyDescent="0.3">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row>
    <row r="722" spans="2:42" ht="13.8" x14ac:dyDescent="0.3">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row>
    <row r="723" spans="2:42" ht="13.8" x14ac:dyDescent="0.3">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row>
    <row r="724" spans="2:42" ht="13.8" x14ac:dyDescent="0.3">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row>
    <row r="725" spans="2:42" ht="13.8" x14ac:dyDescent="0.3">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row>
    <row r="726" spans="2:42" ht="13.8" x14ac:dyDescent="0.3">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row>
    <row r="727" spans="2:42" ht="13.8" x14ac:dyDescent="0.3">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row>
    <row r="728" spans="2:42" ht="13.8" x14ac:dyDescent="0.3">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row>
    <row r="729" spans="2:42" ht="13.8" x14ac:dyDescent="0.3">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row>
    <row r="730" spans="2:42" ht="13.8" x14ac:dyDescent="0.3">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row>
    <row r="731" spans="2:42" ht="13.8" x14ac:dyDescent="0.3">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row>
    <row r="732" spans="2:42" ht="13.8" x14ac:dyDescent="0.3">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row>
    <row r="733" spans="2:42" ht="13.8" x14ac:dyDescent="0.3">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row>
    <row r="734" spans="2:42" ht="13.8" x14ac:dyDescent="0.3">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row>
    <row r="735" spans="2:42" ht="13.8" x14ac:dyDescent="0.3">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row>
    <row r="736" spans="2:42" ht="13.8" x14ac:dyDescent="0.3">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row>
    <row r="737" spans="2:42" ht="13.8" x14ac:dyDescent="0.3">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row>
    <row r="738" spans="2:42" ht="13.8" x14ac:dyDescent="0.3">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row>
    <row r="739" spans="2:42" ht="13.8" x14ac:dyDescent="0.3">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row>
    <row r="740" spans="2:42" ht="13.8" x14ac:dyDescent="0.3">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row>
    <row r="741" spans="2:42" ht="13.8" x14ac:dyDescent="0.3">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row>
    <row r="742" spans="2:42" ht="13.8" x14ac:dyDescent="0.3">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row>
    <row r="743" spans="2:42" ht="13.8" x14ac:dyDescent="0.3">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row>
    <row r="744" spans="2:42" ht="13.8" x14ac:dyDescent="0.3">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row>
    <row r="745" spans="2:42" ht="13.8" x14ac:dyDescent="0.3">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row>
    <row r="746" spans="2:42" ht="13.8" x14ac:dyDescent="0.3">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row>
    <row r="747" spans="2:42" ht="13.8" x14ac:dyDescent="0.3">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row>
    <row r="748" spans="2:42" ht="13.8" x14ac:dyDescent="0.3">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row>
    <row r="749" spans="2:42" ht="13.8" x14ac:dyDescent="0.3">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row>
    <row r="750" spans="2:42" ht="13.8" x14ac:dyDescent="0.3">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row>
    <row r="751" spans="2:42" ht="13.8" x14ac:dyDescent="0.3">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row>
    <row r="752" spans="2:42" ht="13.8" x14ac:dyDescent="0.3">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row>
    <row r="753" spans="2:42" ht="13.8" x14ac:dyDescent="0.3">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row>
    <row r="754" spans="2:42" ht="13.8" x14ac:dyDescent="0.3">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row>
    <row r="755" spans="2:42" ht="13.8" x14ac:dyDescent="0.3">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row>
    <row r="756" spans="2:42" ht="13.8" x14ac:dyDescent="0.3">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row>
    <row r="757" spans="2:42" ht="13.8" x14ac:dyDescent="0.3">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row>
    <row r="758" spans="2:42" ht="13.8" x14ac:dyDescent="0.3">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row>
    <row r="759" spans="2:42" ht="13.8" x14ac:dyDescent="0.3">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row>
    <row r="760" spans="2:42" ht="13.8" x14ac:dyDescent="0.3">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row>
    <row r="761" spans="2:42" ht="13.8" x14ac:dyDescent="0.3">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row>
    <row r="762" spans="2:42" ht="13.8" x14ac:dyDescent="0.3">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row>
    <row r="763" spans="2:42" ht="13.8" x14ac:dyDescent="0.3">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row>
    <row r="764" spans="2:42" ht="13.8" x14ac:dyDescent="0.3">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row>
    <row r="765" spans="2:42" ht="13.8" x14ac:dyDescent="0.3">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row>
    <row r="766" spans="2:42" ht="13.8" x14ac:dyDescent="0.3">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row>
    <row r="767" spans="2:42" ht="13.8" x14ac:dyDescent="0.3">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row>
    <row r="768" spans="2:42" ht="13.8" x14ac:dyDescent="0.3">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row>
    <row r="769" spans="2:42" ht="13.8" x14ac:dyDescent="0.3">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row>
    <row r="770" spans="2:42" ht="13.8" x14ac:dyDescent="0.3">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row>
    <row r="771" spans="2:42" ht="13.8" x14ac:dyDescent="0.3">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row>
    <row r="772" spans="2:42" ht="13.8" x14ac:dyDescent="0.3">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row>
    <row r="773" spans="2:42" ht="13.8" x14ac:dyDescent="0.3">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row>
    <row r="774" spans="2:42" ht="13.8" x14ac:dyDescent="0.3">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row>
    <row r="775" spans="2:42" ht="13.8" x14ac:dyDescent="0.3">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row>
    <row r="776" spans="2:42" ht="13.8" x14ac:dyDescent="0.3">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row>
    <row r="777" spans="2:42" ht="13.8" x14ac:dyDescent="0.3">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row>
    <row r="778" spans="2:42" ht="13.8" x14ac:dyDescent="0.3">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row>
    <row r="779" spans="2:42" ht="13.8" x14ac:dyDescent="0.3">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row>
    <row r="780" spans="2:42" ht="13.8" x14ac:dyDescent="0.3">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row>
    <row r="781" spans="2:42" ht="13.8" x14ac:dyDescent="0.3">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row>
    <row r="782" spans="2:42" ht="13.8" x14ac:dyDescent="0.3">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row>
    <row r="783" spans="2:42" ht="13.8" x14ac:dyDescent="0.3">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row>
    <row r="784" spans="2:42" ht="13.8" x14ac:dyDescent="0.3">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row>
    <row r="785" spans="2:42" ht="13.8" x14ac:dyDescent="0.3">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row>
    <row r="786" spans="2:42" ht="13.8" x14ac:dyDescent="0.3">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row>
    <row r="787" spans="2:42" ht="13.8" x14ac:dyDescent="0.3">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row>
    <row r="788" spans="2:42" ht="13.8" x14ac:dyDescent="0.3">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row>
    <row r="789" spans="2:42" ht="13.8" x14ac:dyDescent="0.3">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row>
    <row r="790" spans="2:42" ht="13.8" x14ac:dyDescent="0.3">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row>
    <row r="791" spans="2:42" ht="13.8" x14ac:dyDescent="0.3">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row>
    <row r="792" spans="2:42" ht="13.8" x14ac:dyDescent="0.3">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row>
    <row r="793" spans="2:42" ht="13.8" x14ac:dyDescent="0.3">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row>
    <row r="794" spans="2:42" ht="13.8" x14ac:dyDescent="0.3">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row>
    <row r="795" spans="2:42" ht="13.8" x14ac:dyDescent="0.3">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row>
    <row r="796" spans="2:42" ht="13.8" x14ac:dyDescent="0.3">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row>
    <row r="797" spans="2:42" ht="13.8" x14ac:dyDescent="0.3">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row>
    <row r="798" spans="2:42" ht="13.8" x14ac:dyDescent="0.3">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row>
    <row r="799" spans="2:42" ht="13.8" x14ac:dyDescent="0.3">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row>
    <row r="800" spans="2:42" ht="13.8" x14ac:dyDescent="0.3">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row>
    <row r="801" spans="2:42" ht="13.8" x14ac:dyDescent="0.3">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row>
    <row r="802" spans="2:42" ht="13.8" x14ac:dyDescent="0.3">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row>
    <row r="803" spans="2:42" ht="13.8" x14ac:dyDescent="0.3">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row>
    <row r="804" spans="2:42" ht="13.8" x14ac:dyDescent="0.3">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row>
    <row r="805" spans="2:42" ht="13.8" x14ac:dyDescent="0.3">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row>
    <row r="806" spans="2:42" ht="13.8" x14ac:dyDescent="0.3">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row>
    <row r="807" spans="2:42" ht="13.8" x14ac:dyDescent="0.3">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row>
    <row r="808" spans="2:42" ht="13.8" x14ac:dyDescent="0.3">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row>
    <row r="809" spans="2:42" ht="13.8" x14ac:dyDescent="0.3">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row>
    <row r="810" spans="2:42" ht="13.8" x14ac:dyDescent="0.3">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row>
    <row r="811" spans="2:42" ht="13.8" x14ac:dyDescent="0.3">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row>
    <row r="812" spans="2:42" ht="13.8" x14ac:dyDescent="0.3">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row>
    <row r="813" spans="2:42" ht="13.8" x14ac:dyDescent="0.3">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row>
    <row r="814" spans="2:42" ht="13.8" x14ac:dyDescent="0.3">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row>
    <row r="815" spans="2:42" ht="13.8" x14ac:dyDescent="0.3">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row>
    <row r="816" spans="2:42" ht="13.8" x14ac:dyDescent="0.3">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row>
    <row r="817" spans="2:42" ht="13.8" x14ac:dyDescent="0.3">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row>
    <row r="818" spans="2:42" ht="13.8" x14ac:dyDescent="0.3">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row>
    <row r="819" spans="2:42" ht="13.8" x14ac:dyDescent="0.3">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row>
    <row r="820" spans="2:42" ht="13.8" x14ac:dyDescent="0.3">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row>
    <row r="821" spans="2:42" ht="13.8" x14ac:dyDescent="0.3">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row>
    <row r="822" spans="2:42" ht="13.8" x14ac:dyDescent="0.3">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row>
    <row r="823" spans="2:42" ht="13.8" x14ac:dyDescent="0.3">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row>
    <row r="824" spans="2:42" ht="13.8" x14ac:dyDescent="0.3">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row>
    <row r="825" spans="2:42" ht="13.8" x14ac:dyDescent="0.3">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row>
    <row r="826" spans="2:42" ht="13.8" x14ac:dyDescent="0.3">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row>
    <row r="827" spans="2:42" ht="13.8" x14ac:dyDescent="0.3">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row>
    <row r="828" spans="2:42" ht="13.8" x14ac:dyDescent="0.3">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row>
    <row r="829" spans="2:42" ht="13.8" x14ac:dyDescent="0.3">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row>
    <row r="830" spans="2:42" ht="13.8" x14ac:dyDescent="0.3">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row>
    <row r="831" spans="2:42" ht="13.8" x14ac:dyDescent="0.3">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row>
    <row r="832" spans="2:42" ht="13.8" x14ac:dyDescent="0.3">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row>
    <row r="833" spans="2:42" ht="13.8" x14ac:dyDescent="0.3">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row>
    <row r="834" spans="2:42" ht="13.8" x14ac:dyDescent="0.3">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row>
    <row r="835" spans="2:42" ht="13.8" x14ac:dyDescent="0.3">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row>
    <row r="836" spans="2:42" ht="13.8" x14ac:dyDescent="0.3">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row>
    <row r="837" spans="2:42" ht="13.8" x14ac:dyDescent="0.3">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row>
    <row r="838" spans="2:42" ht="13.8" x14ac:dyDescent="0.3">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row>
    <row r="839" spans="2:42" ht="13.8" x14ac:dyDescent="0.3">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row>
    <row r="840" spans="2:42" ht="13.8" x14ac:dyDescent="0.3">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row>
    <row r="841" spans="2:42" ht="13.8" x14ac:dyDescent="0.3">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row>
    <row r="842" spans="2:42" ht="13.8" x14ac:dyDescent="0.3">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row>
    <row r="843" spans="2:42" ht="13.8" x14ac:dyDescent="0.3">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row>
    <row r="844" spans="2:42" ht="13.8" x14ac:dyDescent="0.3">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row>
    <row r="845" spans="2:42" ht="13.8" x14ac:dyDescent="0.3">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row>
    <row r="846" spans="2:42" ht="13.8" x14ac:dyDescent="0.3">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row>
    <row r="847" spans="2:42" ht="13.8" x14ac:dyDescent="0.3">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row>
    <row r="848" spans="2:42" ht="13.8" x14ac:dyDescent="0.3">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row>
    <row r="849" spans="2:42" ht="13.8" x14ac:dyDescent="0.3">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row>
    <row r="850" spans="2:42" ht="13.8" x14ac:dyDescent="0.3">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row>
    <row r="851" spans="2:42" ht="13.8" x14ac:dyDescent="0.3">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row>
    <row r="852" spans="2:42" ht="13.8" x14ac:dyDescent="0.3">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row>
    <row r="853" spans="2:42" ht="13.8" x14ac:dyDescent="0.3">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row>
    <row r="854" spans="2:42" ht="13.8" x14ac:dyDescent="0.3">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row>
    <row r="855" spans="2:42" ht="13.8" x14ac:dyDescent="0.3">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row>
    <row r="856" spans="2:42" ht="13.8" x14ac:dyDescent="0.3">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row>
    <row r="857" spans="2:42" ht="13.8" x14ac:dyDescent="0.3">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row>
    <row r="858" spans="2:42" ht="13.8" x14ac:dyDescent="0.3">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row>
    <row r="859" spans="2:42" ht="13.8" x14ac:dyDescent="0.3">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row>
    <row r="860" spans="2:42" ht="13.8" x14ac:dyDescent="0.3">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row>
    <row r="861" spans="2:42" ht="13.8" x14ac:dyDescent="0.3">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row>
    <row r="862" spans="2:42" ht="13.8" x14ac:dyDescent="0.3">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row>
    <row r="863" spans="2:42" ht="13.8" x14ac:dyDescent="0.3">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row>
    <row r="864" spans="2:42" ht="13.8" x14ac:dyDescent="0.3">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row>
    <row r="865" spans="2:42" ht="13.8" x14ac:dyDescent="0.3">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row>
    <row r="866" spans="2:42" ht="13.8" x14ac:dyDescent="0.3">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row>
    <row r="867" spans="2:42" ht="13.8" x14ac:dyDescent="0.3">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row>
    <row r="868" spans="2:42" ht="13.8" x14ac:dyDescent="0.3">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row>
    <row r="869" spans="2:42" ht="13.8" x14ac:dyDescent="0.3">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row>
    <row r="870" spans="2:42" ht="13.8" x14ac:dyDescent="0.3">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row>
    <row r="871" spans="2:42" ht="13.8" x14ac:dyDescent="0.3">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row>
    <row r="872" spans="2:42" ht="13.8" x14ac:dyDescent="0.3">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row>
    <row r="873" spans="2:42" ht="13.8" x14ac:dyDescent="0.3">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row>
    <row r="874" spans="2:42" ht="13.8" x14ac:dyDescent="0.3">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row>
    <row r="875" spans="2:42" ht="13.8" x14ac:dyDescent="0.3">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row>
    <row r="876" spans="2:42" ht="13.8" x14ac:dyDescent="0.3">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row>
    <row r="877" spans="2:42" ht="13.8" x14ac:dyDescent="0.3">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row>
    <row r="878" spans="2:42" ht="13.8" x14ac:dyDescent="0.3">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row>
    <row r="879" spans="2:42" ht="13.8" x14ac:dyDescent="0.3">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row>
    <row r="880" spans="2:42" ht="13.8" x14ac:dyDescent="0.3">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row>
    <row r="881" spans="2:42" ht="13.8" x14ac:dyDescent="0.3">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row>
    <row r="882" spans="2:42" ht="13.8" x14ac:dyDescent="0.3">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row>
    <row r="883" spans="2:42" ht="13.8" x14ac:dyDescent="0.3">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row>
    <row r="884" spans="2:42" ht="13.8" x14ac:dyDescent="0.3">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row>
    <row r="885" spans="2:42" ht="13.8" x14ac:dyDescent="0.3">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row>
    <row r="886" spans="2:42" ht="13.8" x14ac:dyDescent="0.3">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row>
    <row r="887" spans="2:42" ht="13.8" x14ac:dyDescent="0.3">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row>
    <row r="888" spans="2:42" ht="13.8" x14ac:dyDescent="0.3">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row>
    <row r="889" spans="2:42" ht="13.8" x14ac:dyDescent="0.3">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row>
    <row r="890" spans="2:42" ht="13.8" x14ac:dyDescent="0.3">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row>
    <row r="891" spans="2:42" ht="13.8" x14ac:dyDescent="0.3">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row>
    <row r="892" spans="2:42" ht="13.8" x14ac:dyDescent="0.3">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row>
    <row r="893" spans="2:42" ht="13.8" x14ac:dyDescent="0.3">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row>
    <row r="894" spans="2:42" ht="13.8" x14ac:dyDescent="0.3">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row>
    <row r="895" spans="2:42" ht="13.8" x14ac:dyDescent="0.3">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row>
    <row r="896" spans="2:42" ht="13.8" x14ac:dyDescent="0.3">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row>
    <row r="897" spans="2:42" ht="13.8" x14ac:dyDescent="0.3">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row>
    <row r="898" spans="2:42" ht="13.8" x14ac:dyDescent="0.3">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row>
    <row r="899" spans="2:42" ht="13.8" x14ac:dyDescent="0.3">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row>
    <row r="900" spans="2:42" ht="13.8" x14ac:dyDescent="0.3">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row>
    <row r="901" spans="2:42" ht="13.8" x14ac:dyDescent="0.3">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row>
    <row r="902" spans="2:42" ht="13.8" x14ac:dyDescent="0.3">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row>
    <row r="903" spans="2:42" ht="13.8" x14ac:dyDescent="0.3">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row>
    <row r="904" spans="2:42" ht="13.8" x14ac:dyDescent="0.3">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row>
    <row r="905" spans="2:42" ht="13.8" x14ac:dyDescent="0.3">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row>
    <row r="906" spans="2:42" ht="13.8" x14ac:dyDescent="0.3">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row>
    <row r="907" spans="2:42" ht="13.8" x14ac:dyDescent="0.3">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row>
    <row r="908" spans="2:42" ht="13.8" x14ac:dyDescent="0.3">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row>
    <row r="909" spans="2:42" ht="13.8" x14ac:dyDescent="0.3">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row>
    <row r="910" spans="2:42" ht="13.8" x14ac:dyDescent="0.3">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row>
    <row r="911" spans="2:42" ht="13.8" x14ac:dyDescent="0.3">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row>
    <row r="912" spans="2:42" ht="13.8" x14ac:dyDescent="0.3">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row>
    <row r="913" spans="2:42" ht="13.8" x14ac:dyDescent="0.3">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row>
    <row r="914" spans="2:42" ht="13.8" x14ac:dyDescent="0.3">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row>
    <row r="915" spans="2:42" ht="13.8" x14ac:dyDescent="0.3">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row>
    <row r="916" spans="2:42" ht="13.8" x14ac:dyDescent="0.3">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row>
    <row r="917" spans="2:42" ht="13.8" x14ac:dyDescent="0.3">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row>
    <row r="918" spans="2:42" ht="13.8" x14ac:dyDescent="0.3">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row>
    <row r="919" spans="2:42" ht="13.8" x14ac:dyDescent="0.3">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row>
    <row r="920" spans="2:42" ht="13.8" x14ac:dyDescent="0.3">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row>
    <row r="921" spans="2:42" ht="13.8" x14ac:dyDescent="0.3">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row>
    <row r="922" spans="2:42" ht="13.8" x14ac:dyDescent="0.3">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row>
    <row r="923" spans="2:42" ht="13.8" x14ac:dyDescent="0.3">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row>
    <row r="924" spans="2:42" ht="13.8" x14ac:dyDescent="0.3">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row>
  </sheetData>
  <sheetProtection formatCells="0" formatColumns="0" formatRows="0" insertColumns="0" insertRows="0" insertHyperlinks="0" deleteColumns="0" deleteRows="0" sort="0" autoFilter="0" pivotTables="0"/>
  <mergeCells count="75">
    <mergeCell ref="AC37:AD37"/>
    <mergeCell ref="AE37:AF37"/>
    <mergeCell ref="AG37:AH37"/>
    <mergeCell ref="AI37:AJ37"/>
    <mergeCell ref="AK37:AL37"/>
    <mergeCell ref="AM4:AN4"/>
    <mergeCell ref="AO4:AP4"/>
    <mergeCell ref="AQ4:AR4"/>
    <mergeCell ref="AO26:AP26"/>
    <mergeCell ref="AQ26:AR26"/>
    <mergeCell ref="S26:T26"/>
    <mergeCell ref="U26:V26"/>
    <mergeCell ref="W26:X26"/>
    <mergeCell ref="AM15:AN15"/>
    <mergeCell ref="AO15:AP15"/>
    <mergeCell ref="Y26:Z26"/>
    <mergeCell ref="AA26:AB26"/>
    <mergeCell ref="AC26:AD26"/>
    <mergeCell ref="AE26:AF26"/>
    <mergeCell ref="AG26:AH26"/>
    <mergeCell ref="AI26:AJ26"/>
    <mergeCell ref="S4:T4"/>
    <mergeCell ref="U4:V4"/>
    <mergeCell ref="W4:X4"/>
    <mergeCell ref="U15:V15"/>
    <mergeCell ref="W15:X15"/>
    <mergeCell ref="BC26:BD26"/>
    <mergeCell ref="AS26:AT26"/>
    <mergeCell ref="AU26:AV26"/>
    <mergeCell ref="AW26:AX26"/>
    <mergeCell ref="AY26:AZ26"/>
    <mergeCell ref="BA26:BB26"/>
    <mergeCell ref="AY15:AZ15"/>
    <mergeCell ref="BA15:BB15"/>
    <mergeCell ref="BC15:BD15"/>
    <mergeCell ref="S25:X25"/>
    <mergeCell ref="Y25:AD25"/>
    <mergeCell ref="AE25:AJ25"/>
    <mergeCell ref="AW15:AX15"/>
    <mergeCell ref="AM25:AR25"/>
    <mergeCell ref="AS25:AX25"/>
    <mergeCell ref="AY25:BD25"/>
    <mergeCell ref="AQ15:AR15"/>
    <mergeCell ref="BC4:BD4"/>
    <mergeCell ref="S14:X14"/>
    <mergeCell ref="Y14:AD14"/>
    <mergeCell ref="AE14:AJ14"/>
    <mergeCell ref="Y15:Z15"/>
    <mergeCell ref="AA15:AB15"/>
    <mergeCell ref="AC15:AD15"/>
    <mergeCell ref="AE15:AF15"/>
    <mergeCell ref="AG15:AH15"/>
    <mergeCell ref="AI15:AJ15"/>
    <mergeCell ref="AM14:AR14"/>
    <mergeCell ref="AS14:AX14"/>
    <mergeCell ref="AY14:BD14"/>
    <mergeCell ref="AS15:AT15"/>
    <mergeCell ref="AU15:AV15"/>
    <mergeCell ref="AA4:AB4"/>
    <mergeCell ref="AC4:AD4"/>
    <mergeCell ref="AG4:AH4"/>
    <mergeCell ref="AI4:AJ4"/>
    <mergeCell ref="Y4:Z4"/>
    <mergeCell ref="AE4:AF4"/>
    <mergeCell ref="AS4:AT4"/>
    <mergeCell ref="AU4:AV4"/>
    <mergeCell ref="AW4:AX4"/>
    <mergeCell ref="AY4:AZ4"/>
    <mergeCell ref="BA4:BB4"/>
    <mergeCell ref="AM3:AR3"/>
    <mergeCell ref="S3:X3"/>
    <mergeCell ref="AS3:AX3"/>
    <mergeCell ref="AY3:BD3"/>
    <mergeCell ref="Y3:AD3"/>
    <mergeCell ref="AE3:AJ3"/>
  </mergeCells>
  <phoneticPr fontId="12" type="noConversion"/>
  <conditionalFormatting sqref="C3:C86">
    <cfRule type="containsText" dxfId="4" priority="33" operator="containsText" text="Yes">
      <formula>NOT(ISERROR(SEARCH("Yes",C3)))</formula>
    </cfRule>
  </conditionalFormatting>
  <conditionalFormatting sqref="D3:E86 H3:H86 C5 C8:E9 C10">
    <cfRule type="containsText" dxfId="3" priority="186" operator="containsText" text="No">
      <formula>NOT(ISERROR(SEARCH("No",C3)))</formula>
    </cfRule>
  </conditionalFormatting>
  <conditionalFormatting sqref="F3:K86">
    <cfRule type="containsText" dxfId="2" priority="182" operator="containsText" text="Yes">
      <formula>NOT(ISERROR(SEARCH("Yes",F3)))</formula>
    </cfRule>
    <cfRule type="containsText" dxfId="1" priority="183" operator="containsText" text="No">
      <formula>NOT(ISERROR(SEARCH("No",F3)))</formula>
    </cfRule>
  </conditionalFormatting>
  <conditionalFormatting sqref="H3:H86 C3:E86">
    <cfRule type="containsText" dxfId="0" priority="185" operator="containsText" text="No">
      <formula>NOT(ISERROR(SEARCH("No",C3)))</formula>
    </cfRule>
  </conditionalFormatting>
  <dataValidations count="1">
    <dataValidation type="list" allowBlank="1" showInputMessage="1" showErrorMessage="1" sqref="C3:C86 F3:F86 I3:I86" xr:uid="{63314F3F-B2FE-4083-A286-F26BC4D86D2E}">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r:id="rId1"/>
  <headerFooter>
    <oddHeader>&amp;LPhosphate Budget Calculator&amp;CData Tables</oddHeader>
    <oddFooter>&amp;LVersion 2.2&amp;R&amp;D</oddFooter>
  </headerFooter>
  <customProperties>
    <customPr name="SSC_SHEET_GUID" r:id="rId2"/>
  </customProperties>
  <tableParts count="3">
    <tablePart r:id="rId3"/>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1B447-6C93-4A3D-9E5B-B768C560CAA1}">
  <dimension ref="A1:E65"/>
  <sheetViews>
    <sheetView workbookViewId="0"/>
  </sheetViews>
  <sheetFormatPr defaultRowHeight="13.2" x14ac:dyDescent="0.25"/>
  <sheetData>
    <row r="1" spans="1:5" x14ac:dyDescent="0.25">
      <c r="A1" t="s">
        <v>152</v>
      </c>
      <c r="B1" t="s">
        <v>153</v>
      </c>
      <c r="C1" t="s">
        <v>500</v>
      </c>
      <c r="D1" t="s">
        <v>261</v>
      </c>
      <c r="E1" t="s">
        <v>151</v>
      </c>
    </row>
    <row r="2" spans="1:5" x14ac:dyDescent="0.25">
      <c r="A2" t="s">
        <v>154</v>
      </c>
      <c r="B2" t="s">
        <v>155</v>
      </c>
      <c r="C2" t="s">
        <v>501</v>
      </c>
    </row>
    <row r="3" spans="1:5" x14ac:dyDescent="0.25">
      <c r="A3" t="s">
        <v>156</v>
      </c>
      <c r="B3" t="s">
        <v>157</v>
      </c>
      <c r="C3" t="s">
        <v>251</v>
      </c>
    </row>
    <row r="4" spans="1:5" x14ac:dyDescent="0.25">
      <c r="A4" t="s">
        <v>158</v>
      </c>
      <c r="B4" t="s">
        <v>159</v>
      </c>
      <c r="C4" t="s">
        <v>252</v>
      </c>
    </row>
    <row r="5" spans="1:5" x14ac:dyDescent="0.25">
      <c r="A5" t="s">
        <v>160</v>
      </c>
      <c r="B5" t="s">
        <v>161</v>
      </c>
      <c r="C5" t="s">
        <v>253</v>
      </c>
    </row>
    <row r="6" spans="1:5" x14ac:dyDescent="0.25">
      <c r="A6" t="s">
        <v>162</v>
      </c>
      <c r="B6" t="s">
        <v>163</v>
      </c>
      <c r="C6" t="s">
        <v>254</v>
      </c>
    </row>
    <row r="7" spans="1:5" x14ac:dyDescent="0.25">
      <c r="A7" t="s">
        <v>164</v>
      </c>
      <c r="B7" t="s">
        <v>165</v>
      </c>
      <c r="C7" t="s">
        <v>255</v>
      </c>
    </row>
    <row r="8" spans="1:5" x14ac:dyDescent="0.25">
      <c r="A8" t="s">
        <v>166</v>
      </c>
      <c r="C8" t="s">
        <v>256</v>
      </c>
    </row>
    <row r="9" spans="1:5" x14ac:dyDescent="0.25">
      <c r="A9" t="s">
        <v>167</v>
      </c>
      <c r="C9" t="s">
        <v>257</v>
      </c>
    </row>
    <row r="10" spans="1:5" x14ac:dyDescent="0.25">
      <c r="A10" t="s">
        <v>168</v>
      </c>
      <c r="C10" t="s">
        <v>258</v>
      </c>
    </row>
    <row r="11" spans="1:5" x14ac:dyDescent="0.25">
      <c r="A11" t="s">
        <v>169</v>
      </c>
      <c r="C11" t="s">
        <v>502</v>
      </c>
    </row>
    <row r="12" spans="1:5" x14ac:dyDescent="0.25">
      <c r="A12" t="s">
        <v>170</v>
      </c>
      <c r="C12" t="s">
        <v>259</v>
      </c>
    </row>
    <row r="13" spans="1:5" x14ac:dyDescent="0.25">
      <c r="A13" t="s">
        <v>171</v>
      </c>
      <c r="C13" t="s">
        <v>260</v>
      </c>
    </row>
    <row r="14" spans="1:5" x14ac:dyDescent="0.25">
      <c r="A14" t="s">
        <v>172</v>
      </c>
    </row>
    <row r="15" spans="1:5" x14ac:dyDescent="0.25">
      <c r="A15" t="s">
        <v>173</v>
      </c>
    </row>
    <row r="16" spans="1:5" x14ac:dyDescent="0.25">
      <c r="A16" t="s">
        <v>174</v>
      </c>
    </row>
    <row r="17" spans="1:1" x14ac:dyDescent="0.25">
      <c r="A17" t="s">
        <v>175</v>
      </c>
    </row>
    <row r="18" spans="1:1" x14ac:dyDescent="0.25">
      <c r="A18" t="s">
        <v>176</v>
      </c>
    </row>
    <row r="19" spans="1:1" x14ac:dyDescent="0.25">
      <c r="A19" t="s">
        <v>177</v>
      </c>
    </row>
    <row r="20" spans="1:1" x14ac:dyDescent="0.25">
      <c r="A20" t="s">
        <v>178</v>
      </c>
    </row>
    <row r="21" spans="1:1" x14ac:dyDescent="0.25">
      <c r="A21" t="s">
        <v>179</v>
      </c>
    </row>
    <row r="22" spans="1:1" x14ac:dyDescent="0.25">
      <c r="A22" t="s">
        <v>180</v>
      </c>
    </row>
    <row r="23" spans="1:1" x14ac:dyDescent="0.25">
      <c r="A23" t="s">
        <v>181</v>
      </c>
    </row>
    <row r="24" spans="1:1" x14ac:dyDescent="0.25">
      <c r="A24" t="s">
        <v>182</v>
      </c>
    </row>
    <row r="25" spans="1:1" x14ac:dyDescent="0.25">
      <c r="A25" t="s">
        <v>183</v>
      </c>
    </row>
    <row r="26" spans="1:1" x14ac:dyDescent="0.25">
      <c r="A26" t="s">
        <v>184</v>
      </c>
    </row>
    <row r="27" spans="1:1" x14ac:dyDescent="0.25">
      <c r="A27" t="s">
        <v>185</v>
      </c>
    </row>
    <row r="28" spans="1:1" x14ac:dyDescent="0.25">
      <c r="A28" t="s">
        <v>186</v>
      </c>
    </row>
    <row r="29" spans="1:1" x14ac:dyDescent="0.25">
      <c r="A29" t="s">
        <v>187</v>
      </c>
    </row>
    <row r="30" spans="1:1" x14ac:dyDescent="0.25">
      <c r="A30" t="s">
        <v>188</v>
      </c>
    </row>
    <row r="31" spans="1:1" x14ac:dyDescent="0.25">
      <c r="A31" t="s">
        <v>189</v>
      </c>
    </row>
    <row r="32" spans="1:1" x14ac:dyDescent="0.25">
      <c r="A32" t="s">
        <v>190</v>
      </c>
    </row>
    <row r="33" spans="1:1" x14ac:dyDescent="0.25">
      <c r="A33" t="s">
        <v>191</v>
      </c>
    </row>
    <row r="34" spans="1:1" x14ac:dyDescent="0.25">
      <c r="A34" t="s">
        <v>192</v>
      </c>
    </row>
    <row r="35" spans="1:1" x14ac:dyDescent="0.25">
      <c r="A35" t="s">
        <v>193</v>
      </c>
    </row>
    <row r="36" spans="1:1" x14ac:dyDescent="0.25">
      <c r="A36" t="s">
        <v>194</v>
      </c>
    </row>
    <row r="37" spans="1:1" x14ac:dyDescent="0.25">
      <c r="A37" t="s">
        <v>195</v>
      </c>
    </row>
    <row r="38" spans="1:1" x14ac:dyDescent="0.25">
      <c r="A38" t="s">
        <v>196</v>
      </c>
    </row>
    <row r="39" spans="1:1" x14ac:dyDescent="0.25">
      <c r="A39" t="s">
        <v>197</v>
      </c>
    </row>
    <row r="40" spans="1:1" x14ac:dyDescent="0.25">
      <c r="A40" t="s">
        <v>198</v>
      </c>
    </row>
    <row r="41" spans="1:1" x14ac:dyDescent="0.25">
      <c r="A41" t="s">
        <v>199</v>
      </c>
    </row>
    <row r="42" spans="1:1" x14ac:dyDescent="0.25">
      <c r="A42" t="s">
        <v>200</v>
      </c>
    </row>
    <row r="43" spans="1:1" x14ac:dyDescent="0.25">
      <c r="A43" t="s">
        <v>201</v>
      </c>
    </row>
    <row r="44" spans="1:1" x14ac:dyDescent="0.25">
      <c r="A44" t="s">
        <v>202</v>
      </c>
    </row>
    <row r="45" spans="1:1" x14ac:dyDescent="0.25">
      <c r="A45" t="s">
        <v>203</v>
      </c>
    </row>
    <row r="46" spans="1:1" x14ac:dyDescent="0.25">
      <c r="A46" t="s">
        <v>204</v>
      </c>
    </row>
    <row r="47" spans="1:1" x14ac:dyDescent="0.25">
      <c r="A47" t="s">
        <v>205</v>
      </c>
    </row>
    <row r="48" spans="1:1" x14ac:dyDescent="0.25">
      <c r="A48" t="s">
        <v>206</v>
      </c>
    </row>
    <row r="49" spans="1:2" x14ac:dyDescent="0.25">
      <c r="A49" t="s">
        <v>207</v>
      </c>
    </row>
    <row r="50" spans="1:2" x14ac:dyDescent="0.25">
      <c r="A50" t="s">
        <v>208</v>
      </c>
    </row>
    <row r="51" spans="1:2" x14ac:dyDescent="0.25">
      <c r="A51" t="s">
        <v>209</v>
      </c>
    </row>
    <row r="52" spans="1:2" x14ac:dyDescent="0.25">
      <c r="A52" t="s">
        <v>210</v>
      </c>
    </row>
    <row r="53" spans="1:2" x14ac:dyDescent="0.25">
      <c r="A53" t="s">
        <v>211</v>
      </c>
    </row>
    <row r="54" spans="1:2" x14ac:dyDescent="0.25">
      <c r="A54" t="s">
        <v>212</v>
      </c>
    </row>
    <row r="55" spans="1:2" x14ac:dyDescent="0.25">
      <c r="A55" t="s">
        <v>213</v>
      </c>
    </row>
    <row r="56" spans="1:2" x14ac:dyDescent="0.25">
      <c r="A56" t="s">
        <v>214</v>
      </c>
    </row>
    <row r="57" spans="1:2" x14ac:dyDescent="0.25">
      <c r="A57" t="s">
        <v>215</v>
      </c>
    </row>
    <row r="58" spans="1:2" x14ac:dyDescent="0.25">
      <c r="A58" t="s">
        <v>216</v>
      </c>
    </row>
    <row r="59" spans="1:2" x14ac:dyDescent="0.25">
      <c r="A59" t="s">
        <v>217</v>
      </c>
    </row>
    <row r="60" spans="1:2" x14ac:dyDescent="0.25">
      <c r="A60" t="s">
        <v>218</v>
      </c>
    </row>
    <row r="61" spans="1:2" x14ac:dyDescent="0.25">
      <c r="A61" t="s">
        <v>219</v>
      </c>
    </row>
    <row r="62" spans="1:2" x14ac:dyDescent="0.25">
      <c r="A62" t="s">
        <v>220</v>
      </c>
    </row>
    <row r="63" spans="1:2" x14ac:dyDescent="0.25">
      <c r="A63" t="s">
        <v>221</v>
      </c>
      <c r="B63" t="s">
        <v>222</v>
      </c>
    </row>
    <row r="64" spans="1:2" x14ac:dyDescent="0.25">
      <c r="A64" t="s">
        <v>223</v>
      </c>
    </row>
    <row r="65" spans="1:2" x14ac:dyDescent="0.25">
      <c r="A65" t="s">
        <v>224</v>
      </c>
      <c r="B65" t="s">
        <v>225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7634-7A0F-4CBC-8A91-EB26313C3D13}">
  <sheetPr>
    <tabColor theme="9" tint="0.79998168889431442"/>
    <pageSetUpPr fitToPage="1"/>
  </sheetPr>
  <dimension ref="A1:N17"/>
  <sheetViews>
    <sheetView zoomScale="115" zoomScaleNormal="115" workbookViewId="0">
      <selection activeCell="E8" sqref="E8:M8"/>
    </sheetView>
  </sheetViews>
  <sheetFormatPr defaultRowHeight="13.2" x14ac:dyDescent="0.25"/>
  <cols>
    <col min="2" max="2" width="1.21875" customWidth="1"/>
    <col min="3" max="3" width="6.77734375" customWidth="1"/>
    <col min="4" max="4" width="7.5546875" customWidth="1"/>
    <col min="6" max="6" width="10.5546875" customWidth="1"/>
    <col min="13" max="13" width="16.5546875" customWidth="1"/>
    <col min="14" max="14" width="1.44140625" customWidth="1"/>
  </cols>
  <sheetData>
    <row r="1" spans="1:14" ht="13.8" x14ac:dyDescent="0.3">
      <c r="A1" s="40" t="s">
        <v>582</v>
      </c>
    </row>
    <row r="2" spans="1:14" ht="9.6" customHeight="1" thickBot="1" x14ac:dyDescent="0.3"/>
    <row r="3" spans="1:14" ht="7.05" customHeight="1" x14ac:dyDescent="0.25">
      <c r="B3" s="1"/>
      <c r="C3" s="2"/>
      <c r="D3" s="2"/>
      <c r="E3" s="2"/>
      <c r="F3" s="2"/>
      <c r="G3" s="2"/>
      <c r="H3" s="2"/>
      <c r="I3" s="2"/>
      <c r="J3" s="2"/>
      <c r="K3" s="2"/>
      <c r="L3" s="2"/>
      <c r="M3" s="2"/>
      <c r="N3" s="3"/>
    </row>
    <row r="4" spans="1:14" ht="15.6" x14ac:dyDescent="0.3">
      <c r="B4" s="4"/>
      <c r="C4" s="430" t="s">
        <v>36</v>
      </c>
      <c r="D4" s="431"/>
      <c r="E4" s="431"/>
      <c r="F4" s="432"/>
      <c r="G4" s="416"/>
      <c r="H4" s="417"/>
      <c r="I4" s="417"/>
      <c r="J4" s="417"/>
      <c r="K4" s="417"/>
      <c r="L4" s="417"/>
      <c r="M4" s="418"/>
      <c r="N4" s="6"/>
    </row>
    <row r="5" spans="1:14" ht="15.6" x14ac:dyDescent="0.3">
      <c r="B5" s="4"/>
      <c r="C5" s="230"/>
      <c r="D5" s="227"/>
      <c r="E5" s="231"/>
      <c r="F5" s="227"/>
      <c r="G5" s="227"/>
      <c r="H5" s="227"/>
      <c r="I5" s="227"/>
      <c r="J5" s="227"/>
      <c r="K5" s="227"/>
      <c r="L5" s="227"/>
      <c r="M5" s="227"/>
      <c r="N5" s="6"/>
    </row>
    <row r="6" spans="1:14" ht="91.5" customHeight="1" x14ac:dyDescent="0.3">
      <c r="B6" s="4"/>
      <c r="C6" s="428" t="s">
        <v>39</v>
      </c>
      <c r="D6" s="429"/>
      <c r="E6" s="433"/>
      <c r="F6" s="434"/>
      <c r="G6" s="434"/>
      <c r="H6" s="434"/>
      <c r="I6" s="434"/>
      <c r="J6" s="434"/>
      <c r="K6" s="434"/>
      <c r="L6" s="434"/>
      <c r="M6" s="435"/>
      <c r="N6" s="6"/>
    </row>
    <row r="7" spans="1:14" ht="15.6" x14ac:dyDescent="0.3">
      <c r="B7" s="4"/>
      <c r="C7" s="230"/>
      <c r="D7" s="227"/>
      <c r="E7" s="231"/>
      <c r="F7" s="227"/>
      <c r="G7" s="227"/>
      <c r="H7" s="227"/>
      <c r="I7" s="227"/>
      <c r="J7" s="227"/>
      <c r="K7" s="227"/>
      <c r="L7" s="227"/>
      <c r="M7" s="227"/>
      <c r="N7" s="6"/>
    </row>
    <row r="8" spans="1:14" ht="99.6" customHeight="1" x14ac:dyDescent="0.3">
      <c r="B8" s="4"/>
      <c r="C8" s="428" t="s">
        <v>40</v>
      </c>
      <c r="D8" s="429"/>
      <c r="E8" s="433" t="s">
        <v>77</v>
      </c>
      <c r="F8" s="434"/>
      <c r="G8" s="434"/>
      <c r="H8" s="434"/>
      <c r="I8" s="434"/>
      <c r="J8" s="434"/>
      <c r="K8" s="434"/>
      <c r="L8" s="434"/>
      <c r="M8" s="435"/>
      <c r="N8" s="6"/>
    </row>
    <row r="9" spans="1:14" ht="15.6" x14ac:dyDescent="0.3">
      <c r="B9" s="4"/>
      <c r="C9" s="230"/>
      <c r="D9" s="227"/>
      <c r="E9" s="231"/>
      <c r="F9" s="227"/>
      <c r="G9" s="227"/>
      <c r="H9" s="227"/>
      <c r="I9" s="227"/>
      <c r="J9" s="227"/>
      <c r="K9" s="227"/>
      <c r="L9" s="227"/>
      <c r="M9" s="227"/>
      <c r="N9" s="6"/>
    </row>
    <row r="10" spans="1:14" ht="15.6" x14ac:dyDescent="0.3">
      <c r="B10" s="4"/>
      <c r="C10" s="232" t="s">
        <v>37</v>
      </c>
      <c r="D10" s="416"/>
      <c r="E10" s="417"/>
      <c r="F10" s="417"/>
      <c r="G10" s="417"/>
      <c r="H10" s="417"/>
      <c r="I10" s="417"/>
      <c r="J10" s="417"/>
      <c r="K10" s="417"/>
      <c r="L10" s="417"/>
      <c r="M10" s="418"/>
      <c r="N10" s="6"/>
    </row>
    <row r="11" spans="1:14" ht="15.6" x14ac:dyDescent="0.3">
      <c r="B11" s="4"/>
      <c r="C11" s="227"/>
      <c r="D11" s="227"/>
      <c r="E11" s="227"/>
      <c r="F11" s="227"/>
      <c r="G11" s="227"/>
      <c r="H11" s="227"/>
      <c r="I11" s="227"/>
      <c r="J11" s="227"/>
      <c r="K11" s="227"/>
      <c r="L11" s="227"/>
      <c r="M11" s="227"/>
      <c r="N11" s="6"/>
    </row>
    <row r="12" spans="1:14" ht="15.6" x14ac:dyDescent="0.3">
      <c r="B12" s="4"/>
      <c r="C12" s="430" t="s">
        <v>38</v>
      </c>
      <c r="D12" s="431"/>
      <c r="E12" s="431"/>
      <c r="F12" s="431"/>
      <c r="G12" s="431"/>
      <c r="H12" s="431"/>
      <c r="I12" s="431"/>
      <c r="J12" s="431"/>
      <c r="K12" s="431"/>
      <c r="L12" s="431"/>
      <c r="M12" s="432"/>
      <c r="N12" s="6"/>
    </row>
    <row r="13" spans="1:14" x14ac:dyDescent="0.25">
      <c r="B13" s="4"/>
      <c r="C13" s="419"/>
      <c r="D13" s="420"/>
      <c r="E13" s="420"/>
      <c r="F13" s="420"/>
      <c r="G13" s="420"/>
      <c r="H13" s="420"/>
      <c r="I13" s="420"/>
      <c r="J13" s="420"/>
      <c r="K13" s="420"/>
      <c r="L13" s="420"/>
      <c r="M13" s="421"/>
      <c r="N13" s="6"/>
    </row>
    <row r="14" spans="1:14" x14ac:dyDescent="0.25">
      <c r="B14" s="4"/>
      <c r="C14" s="422"/>
      <c r="D14" s="423"/>
      <c r="E14" s="423"/>
      <c r="F14" s="423"/>
      <c r="G14" s="423"/>
      <c r="H14" s="423"/>
      <c r="I14" s="423"/>
      <c r="J14" s="423"/>
      <c r="K14" s="423"/>
      <c r="L14" s="423"/>
      <c r="M14" s="424"/>
      <c r="N14" s="6"/>
    </row>
    <row r="15" spans="1:14" x14ac:dyDescent="0.25">
      <c r="B15" s="4"/>
      <c r="C15" s="422"/>
      <c r="D15" s="423"/>
      <c r="E15" s="423"/>
      <c r="F15" s="423"/>
      <c r="G15" s="423"/>
      <c r="H15" s="423"/>
      <c r="I15" s="423"/>
      <c r="J15" s="423"/>
      <c r="K15" s="423"/>
      <c r="L15" s="423"/>
      <c r="M15" s="424"/>
      <c r="N15" s="6"/>
    </row>
    <row r="16" spans="1:14" ht="71.099999999999994" customHeight="1" x14ac:dyDescent="0.25">
      <c r="B16" s="4"/>
      <c r="C16" s="425"/>
      <c r="D16" s="426"/>
      <c r="E16" s="426"/>
      <c r="F16" s="426"/>
      <c r="G16" s="426"/>
      <c r="H16" s="426"/>
      <c r="I16" s="426"/>
      <c r="J16" s="426"/>
      <c r="K16" s="426"/>
      <c r="L16" s="426"/>
      <c r="M16" s="427"/>
      <c r="N16" s="6"/>
    </row>
    <row r="17" spans="2:14" ht="7.05" customHeight="1" thickBot="1" x14ac:dyDescent="0.3">
      <c r="B17" s="7"/>
      <c r="C17" s="8"/>
      <c r="D17" s="8"/>
      <c r="E17" s="8"/>
      <c r="F17" s="8"/>
      <c r="G17" s="8"/>
      <c r="H17" s="8"/>
      <c r="I17" s="8"/>
      <c r="J17" s="8"/>
      <c r="K17" s="8"/>
      <c r="L17" s="8"/>
      <c r="M17" s="8"/>
      <c r="N17" s="9"/>
    </row>
  </sheetData>
  <sheetProtection algorithmName="SHA-512" hashValue="MlrhyTcwjVkK0KMwfUPdHLOLO3P3d2RgdgUAD+doGpjQCsvg4ipOry44/OugRLuZWwpqIC+868VK5ABoE4k4tw==" saltValue="c+VL2rZFdvhBdytk+9ScHQ==" spinCount="100000" sheet="1" objects="1" scenarios="1" selectLockedCells="1"/>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4" orientation="portrait" r:id="rId1"/>
  <headerFooter>
    <oddHeader>&amp;LPhosphate Budget Calculator&amp;CProject Title</oddHeader>
    <oddFooter>&amp;LVersion 2.2&amp;R&amp;D</oddFooter>
  </headerFooter>
  <customProperties>
    <customPr name="SSC_SHEET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0E52-5235-41CA-BD68-07163707C988}">
  <sheetPr>
    <tabColor rgb="FFD6F4FE"/>
    <pageSetUpPr fitToPage="1"/>
  </sheetPr>
  <dimension ref="A1:AX72"/>
  <sheetViews>
    <sheetView zoomScale="60" zoomScaleNormal="60" workbookViewId="0">
      <selection activeCell="V11" sqref="V11"/>
    </sheetView>
  </sheetViews>
  <sheetFormatPr defaultRowHeight="13.2" x14ac:dyDescent="0.25"/>
  <cols>
    <col min="2" max="2" width="2.21875" customWidth="1"/>
    <col min="3" max="3" width="2.44140625" customWidth="1"/>
    <col min="4" max="4" width="8.77734375" customWidth="1"/>
    <col min="5" max="5" width="13.77734375" customWidth="1"/>
    <col min="7" max="7" width="11.77734375" customWidth="1"/>
    <col min="8" max="8" width="1.77734375" customWidth="1"/>
    <col min="9" max="9" width="3.21875" customWidth="1"/>
    <col min="10" max="10" width="7" customWidth="1"/>
    <col min="11" max="11" width="31.44140625" customWidth="1"/>
    <col min="12" max="12" width="16.5546875" customWidth="1"/>
    <col min="13" max="13" width="16.77734375" customWidth="1"/>
    <col min="14" max="14" width="7.77734375" customWidth="1"/>
    <col min="15" max="15" width="5.5546875" customWidth="1"/>
    <col min="16" max="16" width="0.5546875" customWidth="1"/>
    <col min="17" max="17" width="4.21875" hidden="1" customWidth="1"/>
    <col min="18" max="18" width="3.21875" customWidth="1"/>
    <col min="19" max="19" width="2.77734375" customWidth="1"/>
    <col min="20" max="20" width="4.5546875" customWidth="1"/>
    <col min="21" max="21" width="9.77734375" bestFit="1" customWidth="1"/>
    <col min="24" max="24" width="18.77734375" customWidth="1"/>
    <col min="25" max="25" width="1.44140625" customWidth="1"/>
    <col min="26" max="26" width="0.77734375" customWidth="1"/>
    <col min="27" max="27" width="15.21875" customWidth="1"/>
    <col min="28" max="28" width="2.77734375" customWidth="1"/>
    <col min="29" max="29" width="4" customWidth="1"/>
    <col min="30" max="30" width="30.21875" customWidth="1"/>
    <col min="31" max="31" width="11.21875" customWidth="1"/>
    <col min="32" max="32" width="0.77734375" customWidth="1"/>
    <col min="33" max="33" width="6.77734375" customWidth="1"/>
    <col min="34" max="35" width="1.21875" customWidth="1"/>
  </cols>
  <sheetData>
    <row r="1" spans="1:35" ht="14.4" thickBot="1" x14ac:dyDescent="0.35">
      <c r="A1" s="40" t="s">
        <v>42</v>
      </c>
    </row>
    <row r="2" spans="1:35" ht="3.6" customHeight="1" x14ac:dyDescent="0.3">
      <c r="C2" s="40"/>
      <c r="D2" s="40"/>
      <c r="E2" s="40"/>
      <c r="F2" s="40"/>
      <c r="G2" s="40"/>
      <c r="H2" s="43"/>
      <c r="I2" s="44"/>
      <c r="J2" s="44"/>
      <c r="K2" s="44"/>
      <c r="L2" s="44"/>
      <c r="M2" s="44"/>
      <c r="N2" s="44"/>
      <c r="O2" s="44"/>
      <c r="P2" s="44"/>
      <c r="Q2" s="44"/>
      <c r="R2" s="44"/>
      <c r="S2" s="44"/>
      <c r="T2" s="44"/>
      <c r="U2" s="44"/>
      <c r="V2" s="44"/>
      <c r="W2" s="44"/>
      <c r="X2" s="44"/>
      <c r="Y2" s="44"/>
      <c r="Z2" s="45"/>
      <c r="AA2" s="40"/>
      <c r="AB2" s="40"/>
      <c r="AC2" s="40"/>
      <c r="AD2" s="40"/>
      <c r="AE2" s="40"/>
      <c r="AF2" s="40"/>
      <c r="AG2" s="40"/>
      <c r="AH2" s="40"/>
      <c r="AI2" s="40"/>
    </row>
    <row r="3" spans="1:35" ht="38.549999999999997" customHeight="1" x14ac:dyDescent="0.3">
      <c r="C3" s="40"/>
      <c r="D3" s="229"/>
      <c r="E3" s="229"/>
      <c r="F3" s="229"/>
      <c r="G3" s="229"/>
      <c r="H3" s="233"/>
      <c r="I3" s="371" t="s">
        <v>588</v>
      </c>
      <c r="J3" s="371"/>
      <c r="K3" s="441" t="s">
        <v>484</v>
      </c>
      <c r="L3" s="441"/>
      <c r="M3" s="441"/>
      <c r="N3" s="441"/>
      <c r="O3" s="441"/>
      <c r="P3" s="441"/>
      <c r="Q3" s="441"/>
      <c r="R3" s="441"/>
      <c r="S3" s="441"/>
      <c r="T3" s="441"/>
      <c r="U3" s="441"/>
      <c r="V3" s="441"/>
      <c r="W3" s="441"/>
      <c r="X3" s="441"/>
      <c r="Y3" s="234"/>
      <c r="Z3" s="235"/>
      <c r="AA3" s="229"/>
      <c r="AB3" s="229"/>
      <c r="AC3" s="229"/>
      <c r="AD3" s="229"/>
      <c r="AE3" s="229"/>
      <c r="AF3" s="229"/>
      <c r="AG3" s="229"/>
      <c r="AH3" s="229"/>
      <c r="AI3" s="40"/>
    </row>
    <row r="4" spans="1:35" ht="12.6" customHeight="1" x14ac:dyDescent="0.3">
      <c r="C4" s="40"/>
      <c r="D4" s="229"/>
      <c r="E4" s="229"/>
      <c r="F4" s="229"/>
      <c r="G4" s="229"/>
      <c r="H4" s="233"/>
      <c r="I4" s="436" t="s">
        <v>603</v>
      </c>
      <c r="J4" s="436"/>
      <c r="K4" s="436"/>
      <c r="L4" s="436"/>
      <c r="M4" s="436"/>
      <c r="N4" s="436"/>
      <c r="O4" s="436"/>
      <c r="P4" s="436"/>
      <c r="Q4" s="436"/>
      <c r="R4" s="436"/>
      <c r="S4" s="436"/>
      <c r="T4" s="436"/>
      <c r="U4" s="436"/>
      <c r="V4" s="436"/>
      <c r="W4" s="436"/>
      <c r="X4" s="436"/>
      <c r="Y4" s="236"/>
      <c r="Z4" s="235"/>
      <c r="AA4" s="229"/>
      <c r="AB4" s="229"/>
      <c r="AC4" s="229"/>
      <c r="AD4" s="229"/>
      <c r="AE4" s="229"/>
      <c r="AF4" s="229"/>
      <c r="AG4" s="229"/>
      <c r="AH4" s="229"/>
      <c r="AI4" s="40"/>
    </row>
    <row r="5" spans="1:35" ht="15.6" x14ac:dyDescent="0.3">
      <c r="C5" s="40"/>
      <c r="D5" s="229"/>
      <c r="E5" s="229"/>
      <c r="F5" s="229"/>
      <c r="G5" s="229"/>
      <c r="H5" s="233"/>
      <c r="I5" s="436"/>
      <c r="J5" s="436"/>
      <c r="K5" s="436"/>
      <c r="L5" s="436"/>
      <c r="M5" s="436"/>
      <c r="N5" s="436"/>
      <c r="O5" s="436"/>
      <c r="P5" s="436"/>
      <c r="Q5" s="436"/>
      <c r="R5" s="436"/>
      <c r="S5" s="436"/>
      <c r="T5" s="436"/>
      <c r="U5" s="436"/>
      <c r="V5" s="436"/>
      <c r="W5" s="436"/>
      <c r="X5" s="436"/>
      <c r="Y5" s="236"/>
      <c r="Z5" s="235"/>
      <c r="AA5" s="229"/>
      <c r="AB5" s="229"/>
      <c r="AC5" s="229"/>
      <c r="AD5" s="229"/>
      <c r="AE5" s="229"/>
      <c r="AF5" s="229"/>
      <c r="AG5" s="229"/>
      <c r="AH5" s="229"/>
      <c r="AI5" s="40"/>
    </row>
    <row r="6" spans="1:35" ht="72" customHeight="1" x14ac:dyDescent="0.3">
      <c r="C6" s="40"/>
      <c r="D6" s="229"/>
      <c r="E6" s="229"/>
      <c r="F6" s="229"/>
      <c r="G6" s="229"/>
      <c r="H6" s="233"/>
      <c r="I6" s="442"/>
      <c r="J6" s="442"/>
      <c r="K6" s="442"/>
      <c r="L6" s="442"/>
      <c r="M6" s="442"/>
      <c r="N6" s="442"/>
      <c r="O6" s="442"/>
      <c r="P6" s="442"/>
      <c r="Q6" s="442"/>
      <c r="R6" s="442"/>
      <c r="S6" s="442"/>
      <c r="T6" s="442"/>
      <c r="U6" s="442"/>
      <c r="V6" s="442"/>
      <c r="W6" s="442"/>
      <c r="X6" s="442"/>
      <c r="Y6" s="236"/>
      <c r="Z6" s="235"/>
      <c r="AA6" s="229"/>
      <c r="AB6" s="229"/>
      <c r="AC6" s="229"/>
      <c r="AD6" s="229"/>
      <c r="AE6" s="229"/>
      <c r="AF6" s="229"/>
      <c r="AG6" s="229"/>
      <c r="AH6" s="229"/>
      <c r="AI6" s="40"/>
    </row>
    <row r="7" spans="1:35" ht="4.05" customHeight="1" x14ac:dyDescent="0.3">
      <c r="C7" s="40"/>
      <c r="D7" s="229"/>
      <c r="E7" s="229"/>
      <c r="F7" s="229"/>
      <c r="G7" s="229"/>
      <c r="H7" s="233"/>
      <c r="I7" s="49"/>
      <c r="J7" s="49"/>
      <c r="K7" s="49"/>
      <c r="L7" s="49"/>
      <c r="M7" s="237"/>
      <c r="N7" s="237"/>
      <c r="O7" s="237"/>
      <c r="P7" s="237"/>
      <c r="Q7" s="237"/>
      <c r="R7" s="237"/>
      <c r="S7" s="237"/>
      <c r="T7" s="237"/>
      <c r="U7" s="237"/>
      <c r="V7" s="237"/>
      <c r="W7" s="237"/>
      <c r="X7" s="237"/>
      <c r="Y7" s="237"/>
      <c r="Z7" s="235"/>
      <c r="AA7" s="229"/>
      <c r="AB7" s="229"/>
      <c r="AC7" s="229"/>
      <c r="AD7" s="229"/>
      <c r="AE7" s="229"/>
      <c r="AF7" s="229"/>
      <c r="AG7" s="229"/>
      <c r="AH7" s="229"/>
      <c r="AI7" s="40"/>
    </row>
    <row r="8" spans="1:35" ht="15.6" x14ac:dyDescent="0.3">
      <c r="C8" s="40"/>
      <c r="D8" s="229"/>
      <c r="E8" s="229"/>
      <c r="F8" s="229"/>
      <c r="G8" s="229"/>
      <c r="H8" s="233"/>
      <c r="I8" s="49"/>
      <c r="J8" s="48" t="s">
        <v>5</v>
      </c>
      <c r="K8" s="375" t="s">
        <v>0</v>
      </c>
      <c r="L8" s="375"/>
      <c r="M8" s="375"/>
      <c r="N8" s="375"/>
      <c r="O8" s="375"/>
      <c r="P8" s="375"/>
      <c r="Q8" s="375"/>
      <c r="R8" s="375"/>
      <c r="S8" s="375"/>
      <c r="T8" s="375"/>
      <c r="U8" s="375"/>
      <c r="V8" s="144" t="s">
        <v>2</v>
      </c>
      <c r="W8" s="144"/>
      <c r="X8" s="144" t="s">
        <v>3</v>
      </c>
      <c r="Y8" s="227"/>
      <c r="Z8" s="235"/>
      <c r="AA8" s="229"/>
      <c r="AB8" s="229"/>
      <c r="AC8" s="229"/>
      <c r="AD8" s="229"/>
      <c r="AE8" s="229"/>
      <c r="AF8" s="229"/>
      <c r="AG8" s="229"/>
      <c r="AH8" s="229"/>
      <c r="AI8" s="40"/>
    </row>
    <row r="9" spans="1:35" ht="3.6" customHeight="1" x14ac:dyDescent="0.3">
      <c r="C9" s="40"/>
      <c r="D9" s="229"/>
      <c r="E9" s="229"/>
      <c r="F9" s="229"/>
      <c r="G9" s="229"/>
      <c r="H9" s="233"/>
      <c r="I9" s="49"/>
      <c r="J9" s="49"/>
      <c r="K9" s="49"/>
      <c r="L9" s="49"/>
      <c r="M9" s="49"/>
      <c r="N9" s="49"/>
      <c r="O9" s="49"/>
      <c r="P9" s="49"/>
      <c r="Q9" s="49"/>
      <c r="R9" s="49"/>
      <c r="S9" s="49"/>
      <c r="T9" s="49"/>
      <c r="U9" s="49"/>
      <c r="V9" s="49"/>
      <c r="W9" s="49"/>
      <c r="X9" s="49"/>
      <c r="Y9" s="227"/>
      <c r="Z9" s="235"/>
      <c r="AA9" s="229"/>
      <c r="AB9" s="229"/>
      <c r="AC9" s="229"/>
      <c r="AD9" s="229"/>
      <c r="AE9" s="229"/>
      <c r="AF9" s="229"/>
      <c r="AG9" s="229"/>
      <c r="AH9" s="229"/>
      <c r="AI9" s="40"/>
    </row>
    <row r="10" spans="1:35" ht="3.6" customHeight="1" x14ac:dyDescent="0.3">
      <c r="C10" s="40"/>
      <c r="D10" s="229"/>
      <c r="E10" s="229"/>
      <c r="F10" s="229"/>
      <c r="G10" s="229"/>
      <c r="H10" s="233"/>
      <c r="I10" s="49"/>
      <c r="J10" s="49"/>
      <c r="K10" s="49"/>
      <c r="L10" s="49"/>
      <c r="M10" s="49"/>
      <c r="N10" s="49"/>
      <c r="O10" s="49"/>
      <c r="P10" s="49"/>
      <c r="Q10" s="49"/>
      <c r="R10" s="49"/>
      <c r="S10" s="49"/>
      <c r="T10" s="49"/>
      <c r="U10" s="49"/>
      <c r="V10" s="49"/>
      <c r="W10" s="49"/>
      <c r="X10" s="49"/>
      <c r="Y10" s="227"/>
      <c r="Z10" s="235"/>
      <c r="AA10" s="229"/>
      <c r="AB10" s="229"/>
      <c r="AC10" s="229"/>
      <c r="AD10" s="229"/>
      <c r="AE10" s="229"/>
      <c r="AF10" s="229"/>
      <c r="AG10" s="229"/>
      <c r="AH10" s="229"/>
      <c r="AI10" s="40"/>
    </row>
    <row r="11" spans="1:35" ht="15.6" x14ac:dyDescent="0.3">
      <c r="C11" s="40"/>
      <c r="D11" s="229"/>
      <c r="E11" s="229"/>
      <c r="F11" s="229"/>
      <c r="G11" s="229"/>
      <c r="H11" s="233"/>
      <c r="I11" s="49"/>
      <c r="J11" s="49" t="s">
        <v>575</v>
      </c>
      <c r="K11" s="375" t="s">
        <v>352</v>
      </c>
      <c r="L11" s="375"/>
      <c r="M11" s="375"/>
      <c r="N11" s="375"/>
      <c r="O11" s="375"/>
      <c r="P11" s="375"/>
      <c r="Q11" s="375"/>
      <c r="R11" s="375"/>
      <c r="S11" s="375"/>
      <c r="T11" s="375"/>
      <c r="U11" s="375"/>
      <c r="V11" s="238"/>
      <c r="W11" s="239"/>
      <c r="X11" s="240" t="s">
        <v>6</v>
      </c>
      <c r="Y11" s="227"/>
      <c r="Z11" s="235"/>
      <c r="AA11" s="229"/>
      <c r="AB11" s="229"/>
      <c r="AC11" s="229"/>
      <c r="AD11" s="241"/>
      <c r="AE11" s="241"/>
      <c r="AF11" s="229"/>
      <c r="AG11" s="229"/>
      <c r="AH11" s="229"/>
      <c r="AI11" s="40"/>
    </row>
    <row r="12" spans="1:35" ht="15.6" x14ac:dyDescent="0.3">
      <c r="C12" s="40"/>
      <c r="D12" s="229"/>
      <c r="E12" s="229"/>
      <c r="F12" s="229"/>
      <c r="G12" s="229"/>
      <c r="H12" s="233"/>
      <c r="I12" s="49"/>
      <c r="J12" s="49"/>
      <c r="K12" s="375" t="s">
        <v>135</v>
      </c>
      <c r="L12" s="375"/>
      <c r="M12" s="375"/>
      <c r="N12" s="375"/>
      <c r="O12" s="242"/>
      <c r="P12" s="242"/>
      <c r="Q12" s="242"/>
      <c r="R12" s="49"/>
      <c r="S12" s="49"/>
      <c r="T12" s="49"/>
      <c r="U12" s="49"/>
      <c r="V12" s="268">
        <v>1.8759999999999999</v>
      </c>
      <c r="W12" s="144"/>
      <c r="X12" s="244" t="s">
        <v>7</v>
      </c>
      <c r="Y12" s="227"/>
      <c r="Z12" s="235"/>
      <c r="AA12" s="229"/>
      <c r="AB12" s="229"/>
      <c r="AC12" s="229"/>
      <c r="AD12" s="241"/>
      <c r="AE12" s="241"/>
      <c r="AF12" s="229"/>
      <c r="AG12" s="229"/>
      <c r="AH12" s="229"/>
      <c r="AI12" s="40"/>
    </row>
    <row r="13" spans="1:35" ht="15.6" x14ac:dyDescent="0.3">
      <c r="C13" s="40"/>
      <c r="D13" s="229"/>
      <c r="E13" s="229"/>
      <c r="F13" s="229"/>
      <c r="G13" s="229"/>
      <c r="H13" s="233"/>
      <c r="I13" s="49"/>
      <c r="J13" s="49"/>
      <c r="K13" s="142"/>
      <c r="L13" s="142"/>
      <c r="M13" s="142"/>
      <c r="N13" s="142"/>
      <c r="O13" s="242"/>
      <c r="P13" s="242"/>
      <c r="Q13" s="242"/>
      <c r="R13" s="49"/>
      <c r="S13" s="49"/>
      <c r="T13" s="49"/>
      <c r="U13" s="49"/>
      <c r="V13" s="144"/>
      <c r="W13" s="144"/>
      <c r="X13" s="244"/>
      <c r="Y13" s="227"/>
      <c r="Z13" s="235"/>
      <c r="AA13" s="229"/>
      <c r="AB13" s="229"/>
      <c r="AC13" s="229"/>
      <c r="AD13" s="241"/>
      <c r="AE13" s="241"/>
      <c r="AF13" s="229"/>
      <c r="AG13" s="229"/>
      <c r="AH13" s="229"/>
      <c r="AI13" s="40"/>
    </row>
    <row r="14" spans="1:35" ht="26.55" customHeight="1" x14ac:dyDescent="0.3">
      <c r="C14" s="40"/>
      <c r="D14" s="229"/>
      <c r="E14" s="229"/>
      <c r="F14" s="229"/>
      <c r="G14" s="229"/>
      <c r="H14" s="233"/>
      <c r="I14" s="49"/>
      <c r="J14" s="49" t="s">
        <v>576</v>
      </c>
      <c r="K14" s="361" t="s">
        <v>589</v>
      </c>
      <c r="L14" s="361"/>
      <c r="M14" s="361"/>
      <c r="N14" s="361"/>
      <c r="O14" s="361"/>
      <c r="P14" s="361"/>
      <c r="Q14" s="361"/>
      <c r="R14" s="361"/>
      <c r="S14" s="361"/>
      <c r="T14" s="361"/>
      <c r="U14" s="361"/>
      <c r="V14" s="238"/>
      <c r="W14" s="239"/>
      <c r="X14" s="240" t="s">
        <v>6</v>
      </c>
      <c r="Y14" s="227"/>
      <c r="Z14" s="235"/>
      <c r="AA14" s="229"/>
      <c r="AB14" s="229"/>
      <c r="AC14" s="229"/>
      <c r="AD14" s="241"/>
      <c r="AE14" s="241"/>
      <c r="AF14" s="229"/>
      <c r="AG14" s="229"/>
      <c r="AH14" s="229"/>
      <c r="AI14" s="40"/>
    </row>
    <row r="15" spans="1:35" ht="15.6" x14ac:dyDescent="0.3">
      <c r="C15" s="40"/>
      <c r="D15" s="229"/>
      <c r="E15" s="229"/>
      <c r="F15" s="229"/>
      <c r="G15" s="229"/>
      <c r="H15" s="233"/>
      <c r="I15" s="49"/>
      <c r="J15" s="49"/>
      <c r="K15" s="375" t="s">
        <v>135</v>
      </c>
      <c r="L15" s="375"/>
      <c r="M15" s="375"/>
      <c r="N15" s="375"/>
      <c r="O15" s="375"/>
      <c r="P15" s="375"/>
      <c r="Q15" s="375"/>
      <c r="R15" s="375"/>
      <c r="S15" s="375"/>
      <c r="T15" s="375"/>
      <c r="U15" s="375"/>
      <c r="V15" s="243">
        <v>1.65</v>
      </c>
      <c r="W15" s="144"/>
      <c r="X15" s="244" t="s">
        <v>7</v>
      </c>
      <c r="Y15" s="227"/>
      <c r="Z15" s="235"/>
      <c r="AA15" s="229"/>
      <c r="AB15" s="229"/>
      <c r="AC15" s="229"/>
      <c r="AD15" s="241"/>
      <c r="AE15" s="241"/>
      <c r="AF15" s="229"/>
      <c r="AG15" s="229"/>
      <c r="AH15" s="229"/>
      <c r="AI15" s="40"/>
    </row>
    <row r="16" spans="1:35" ht="15.6" x14ac:dyDescent="0.3">
      <c r="C16" s="40"/>
      <c r="D16" s="229"/>
      <c r="E16" s="229"/>
      <c r="F16" s="229"/>
      <c r="G16" s="229"/>
      <c r="H16" s="233"/>
      <c r="I16" s="49"/>
      <c r="J16" s="49"/>
      <c r="K16" s="142"/>
      <c r="L16" s="142"/>
      <c r="M16" s="142"/>
      <c r="N16" s="142"/>
      <c r="O16" s="242"/>
      <c r="P16" s="242"/>
      <c r="Q16" s="242"/>
      <c r="R16" s="49"/>
      <c r="S16" s="49"/>
      <c r="T16" s="49"/>
      <c r="U16" s="49"/>
      <c r="V16" s="144"/>
      <c r="W16" s="144"/>
      <c r="X16" s="244"/>
      <c r="Y16" s="227"/>
      <c r="Z16" s="235"/>
      <c r="AA16" s="229"/>
      <c r="AB16" s="229"/>
      <c r="AC16" s="229"/>
      <c r="AD16" s="241"/>
      <c r="AE16" s="241"/>
      <c r="AF16" s="229"/>
      <c r="AG16" s="229"/>
      <c r="AH16" s="229"/>
      <c r="AI16" s="40"/>
    </row>
    <row r="17" spans="3:35" ht="15.6" x14ac:dyDescent="0.3">
      <c r="C17" s="40"/>
      <c r="D17" s="229"/>
      <c r="E17" s="229"/>
      <c r="F17" s="229"/>
      <c r="G17" s="229"/>
      <c r="H17" s="233"/>
      <c r="I17" s="49"/>
      <c r="J17" s="49" t="s">
        <v>577</v>
      </c>
      <c r="K17" s="375" t="s">
        <v>227</v>
      </c>
      <c r="L17" s="375"/>
      <c r="M17" s="375"/>
      <c r="N17" s="375"/>
      <c r="O17" s="375"/>
      <c r="P17" s="375"/>
      <c r="Q17" s="375"/>
      <c r="R17" s="375"/>
      <c r="S17" s="375"/>
      <c r="T17" s="375"/>
      <c r="U17" s="375"/>
      <c r="V17" s="238"/>
      <c r="W17" s="239"/>
      <c r="X17" s="240" t="s">
        <v>6</v>
      </c>
      <c r="Y17" s="227"/>
      <c r="Z17" s="235"/>
      <c r="AA17" s="229"/>
      <c r="AB17" s="229"/>
      <c r="AC17" s="229"/>
      <c r="AD17" s="241"/>
      <c r="AE17" s="241"/>
      <c r="AF17" s="229"/>
      <c r="AG17" s="229"/>
      <c r="AH17" s="229"/>
      <c r="AI17" s="40"/>
    </row>
    <row r="18" spans="3:35" ht="15.6" x14ac:dyDescent="0.3">
      <c r="C18" s="40"/>
      <c r="D18" s="229"/>
      <c r="E18" s="229"/>
      <c r="F18" s="229"/>
      <c r="G18" s="229"/>
      <c r="H18" s="233"/>
      <c r="I18" s="49"/>
      <c r="J18" s="49"/>
      <c r="K18" s="375" t="s">
        <v>135</v>
      </c>
      <c r="L18" s="375"/>
      <c r="M18" s="375"/>
      <c r="N18" s="375"/>
      <c r="O18" s="375"/>
      <c r="P18" s="375"/>
      <c r="Q18" s="375"/>
      <c r="R18" s="375"/>
      <c r="S18" s="375"/>
      <c r="T18" s="375"/>
      <c r="U18" s="375"/>
      <c r="V18" s="243">
        <v>1.65</v>
      </c>
      <c r="W18" s="144"/>
      <c r="X18" s="244" t="s">
        <v>7</v>
      </c>
      <c r="Y18" s="227"/>
      <c r="Z18" s="235"/>
      <c r="AA18" s="229"/>
      <c r="AB18" s="229"/>
      <c r="AC18" s="229"/>
      <c r="AD18" s="241"/>
      <c r="AE18" s="241"/>
      <c r="AF18" s="229"/>
      <c r="AG18" s="229"/>
      <c r="AH18" s="229"/>
      <c r="AI18" s="40"/>
    </row>
    <row r="19" spans="3:35" ht="15.6" x14ac:dyDescent="0.3">
      <c r="C19" s="40"/>
      <c r="D19" s="229"/>
      <c r="E19" s="229"/>
      <c r="F19" s="229"/>
      <c r="G19" s="229"/>
      <c r="H19" s="233"/>
      <c r="I19" s="49"/>
      <c r="J19" s="49"/>
      <c r="K19" s="375" t="s">
        <v>228</v>
      </c>
      <c r="L19" s="375"/>
      <c r="M19" s="375"/>
      <c r="N19" s="375"/>
      <c r="O19" s="375"/>
      <c r="P19" s="375"/>
      <c r="Q19" s="375"/>
      <c r="R19" s="375"/>
      <c r="S19" s="375"/>
      <c r="T19" s="375"/>
      <c r="U19" s="375"/>
      <c r="V19" s="238"/>
      <c r="W19" s="239"/>
      <c r="X19" s="244" t="s">
        <v>226</v>
      </c>
      <c r="Y19" s="227"/>
      <c r="Z19" s="235"/>
      <c r="AA19" s="229"/>
      <c r="AB19" s="229"/>
      <c r="AC19" s="229"/>
      <c r="AD19" s="241"/>
      <c r="AE19" s="241"/>
      <c r="AF19" s="229"/>
      <c r="AG19" s="229"/>
      <c r="AH19" s="229"/>
      <c r="AI19" s="40"/>
    </row>
    <row r="20" spans="3:35" ht="12.6" customHeight="1" x14ac:dyDescent="0.3">
      <c r="C20" s="40"/>
      <c r="D20" s="229"/>
      <c r="E20" s="229"/>
      <c r="F20" s="229"/>
      <c r="G20" s="229"/>
      <c r="H20" s="233"/>
      <c r="I20" s="49"/>
      <c r="J20" s="49"/>
      <c r="K20" s="375" t="s">
        <v>229</v>
      </c>
      <c r="L20" s="375"/>
      <c r="M20" s="375"/>
      <c r="N20" s="375"/>
      <c r="O20" s="375"/>
      <c r="P20" s="375"/>
      <c r="Q20" s="375"/>
      <c r="R20" s="375"/>
      <c r="S20" s="375"/>
      <c r="T20" s="375"/>
      <c r="U20" s="375"/>
      <c r="V20" s="238"/>
      <c r="W20" s="239"/>
      <c r="X20" s="240" t="s">
        <v>54</v>
      </c>
      <c r="Y20" s="227"/>
      <c r="Z20" s="235"/>
      <c r="AA20" s="229"/>
      <c r="AB20" s="229"/>
      <c r="AC20" s="229"/>
      <c r="AD20" s="241"/>
      <c r="AE20" s="241"/>
      <c r="AF20" s="229"/>
      <c r="AG20" s="229"/>
      <c r="AH20" s="229"/>
      <c r="AI20" s="40"/>
    </row>
    <row r="21" spans="3:35" ht="12.6" customHeight="1" x14ac:dyDescent="0.3">
      <c r="C21" s="40"/>
      <c r="D21" s="229"/>
      <c r="E21" s="229"/>
      <c r="F21" s="229"/>
      <c r="G21" s="229"/>
      <c r="H21" s="233"/>
      <c r="I21" s="49"/>
      <c r="J21" s="49"/>
      <c r="K21" s="142"/>
      <c r="L21" s="142"/>
      <c r="M21" s="142"/>
      <c r="N21" s="142"/>
      <c r="O21" s="142"/>
      <c r="P21" s="142"/>
      <c r="Q21" s="142"/>
      <c r="R21" s="142"/>
      <c r="S21" s="142"/>
      <c r="T21" s="142"/>
      <c r="U21" s="142"/>
      <c r="V21" s="355"/>
      <c r="W21" s="239"/>
      <c r="X21" s="240"/>
      <c r="Y21" s="227"/>
      <c r="Z21" s="235"/>
      <c r="AA21" s="229"/>
      <c r="AB21" s="229"/>
      <c r="AC21" s="229"/>
      <c r="AD21" s="241"/>
      <c r="AE21" s="241"/>
      <c r="AF21" s="229"/>
      <c r="AG21" s="229"/>
      <c r="AH21" s="229"/>
      <c r="AI21" s="40"/>
    </row>
    <row r="22" spans="3:35" ht="12.6" customHeight="1" x14ac:dyDescent="0.3">
      <c r="C22" s="40"/>
      <c r="D22" s="229"/>
      <c r="E22" s="229"/>
      <c r="F22" s="229"/>
      <c r="G22" s="229"/>
      <c r="H22" s="233"/>
      <c r="I22" s="49"/>
      <c r="J22" s="49" t="s">
        <v>596</v>
      </c>
      <c r="K22" s="375" t="s">
        <v>621</v>
      </c>
      <c r="L22" s="375"/>
      <c r="M22" s="375"/>
      <c r="N22" s="375"/>
      <c r="O22" s="375"/>
      <c r="P22" s="375"/>
      <c r="Q22" s="375"/>
      <c r="R22" s="375"/>
      <c r="S22" s="375"/>
      <c r="T22" s="375"/>
      <c r="U22" s="375"/>
      <c r="V22" s="238"/>
      <c r="W22" s="239"/>
      <c r="X22" s="240" t="s">
        <v>6</v>
      </c>
      <c r="Y22" s="227"/>
      <c r="Z22" s="235"/>
      <c r="AA22" s="229"/>
      <c r="AB22" s="229"/>
      <c r="AC22" s="229"/>
      <c r="AD22" s="241"/>
      <c r="AE22" s="241"/>
      <c r="AF22" s="229"/>
      <c r="AG22" s="229"/>
      <c r="AH22" s="229"/>
      <c r="AI22" s="40"/>
    </row>
    <row r="23" spans="3:35" ht="12.6" customHeight="1" x14ac:dyDescent="0.3">
      <c r="C23" s="40"/>
      <c r="D23" s="229"/>
      <c r="E23" s="229"/>
      <c r="F23" s="229"/>
      <c r="G23" s="229"/>
      <c r="H23" s="233"/>
      <c r="I23" s="49"/>
      <c r="J23" s="49"/>
      <c r="K23" s="375" t="s">
        <v>135</v>
      </c>
      <c r="L23" s="375"/>
      <c r="M23" s="375"/>
      <c r="N23" s="375"/>
      <c r="O23" s="375"/>
      <c r="P23" s="375"/>
      <c r="Q23" s="375"/>
      <c r="R23" s="375"/>
      <c r="S23" s="375"/>
      <c r="T23" s="375"/>
      <c r="U23" s="375"/>
      <c r="V23" s="243">
        <v>1</v>
      </c>
      <c r="W23" s="144"/>
      <c r="X23" s="244" t="s">
        <v>7</v>
      </c>
      <c r="Y23" s="227"/>
      <c r="Z23" s="235"/>
      <c r="AA23" s="229"/>
      <c r="AB23" s="229"/>
      <c r="AC23" s="229"/>
      <c r="AD23" s="241"/>
      <c r="AE23" s="241"/>
      <c r="AF23" s="229"/>
      <c r="AG23" s="229"/>
      <c r="AH23" s="229"/>
      <c r="AI23" s="40"/>
    </row>
    <row r="24" spans="3:35" ht="12.6" customHeight="1" x14ac:dyDescent="0.3">
      <c r="C24" s="40"/>
      <c r="D24" s="229"/>
      <c r="E24" s="229"/>
      <c r="F24" s="229"/>
      <c r="G24" s="229"/>
      <c r="H24" s="233"/>
      <c r="I24" s="49"/>
      <c r="J24" s="49"/>
      <c r="K24" s="375" t="s">
        <v>228</v>
      </c>
      <c r="L24" s="375"/>
      <c r="M24" s="375"/>
      <c r="N24" s="375"/>
      <c r="O24" s="375"/>
      <c r="P24" s="375"/>
      <c r="Q24" s="375"/>
      <c r="R24" s="375"/>
      <c r="S24" s="375"/>
      <c r="T24" s="375"/>
      <c r="U24" s="375"/>
      <c r="V24" s="238"/>
      <c r="W24" s="239"/>
      <c r="X24" s="244" t="s">
        <v>226</v>
      </c>
      <c r="Y24" s="227"/>
      <c r="Z24" s="235"/>
      <c r="AA24" s="229"/>
      <c r="AB24" s="229"/>
      <c r="AC24" s="229"/>
      <c r="AD24" s="241"/>
      <c r="AE24" s="241"/>
      <c r="AF24" s="229"/>
      <c r="AG24" s="229"/>
      <c r="AH24" s="229"/>
      <c r="AI24" s="40"/>
    </row>
    <row r="25" spans="3:35" ht="12.6" customHeight="1" x14ac:dyDescent="0.3">
      <c r="C25" s="40"/>
      <c r="D25" s="229"/>
      <c r="E25" s="229"/>
      <c r="F25" s="229"/>
      <c r="G25" s="229"/>
      <c r="H25" s="233"/>
      <c r="I25" s="49"/>
      <c r="J25" s="49"/>
      <c r="K25" s="375" t="s">
        <v>229</v>
      </c>
      <c r="L25" s="375"/>
      <c r="M25" s="375"/>
      <c r="N25" s="375"/>
      <c r="O25" s="375"/>
      <c r="P25" s="375"/>
      <c r="Q25" s="375"/>
      <c r="R25" s="375"/>
      <c r="S25" s="375"/>
      <c r="T25" s="375"/>
      <c r="U25" s="375"/>
      <c r="V25" s="238"/>
      <c r="W25" s="239"/>
      <c r="X25" s="240" t="s">
        <v>54</v>
      </c>
      <c r="Y25" s="227"/>
      <c r="Z25" s="235"/>
      <c r="AA25" s="229"/>
      <c r="AB25" s="229"/>
      <c r="AC25" s="229"/>
      <c r="AD25" s="241"/>
      <c r="AE25" s="241"/>
      <c r="AF25" s="229"/>
      <c r="AG25" s="229"/>
      <c r="AH25" s="229"/>
      <c r="AI25" s="40"/>
    </row>
    <row r="26" spans="3:35" ht="12.6" customHeight="1" x14ac:dyDescent="0.3">
      <c r="C26" s="40"/>
      <c r="D26" s="229"/>
      <c r="E26" s="229"/>
      <c r="F26" s="229"/>
      <c r="G26" s="229"/>
      <c r="H26" s="233"/>
      <c r="I26" s="49"/>
      <c r="J26" s="49"/>
      <c r="K26" s="142"/>
      <c r="L26" s="142"/>
      <c r="M26" s="142"/>
      <c r="N26" s="142"/>
      <c r="O26" s="142"/>
      <c r="P26" s="142"/>
      <c r="Q26" s="142"/>
      <c r="R26" s="142"/>
      <c r="S26" s="142"/>
      <c r="T26" s="142"/>
      <c r="U26" s="142"/>
      <c r="V26" s="355"/>
      <c r="W26" s="239"/>
      <c r="X26" s="240"/>
      <c r="Y26" s="227"/>
      <c r="Z26" s="235"/>
      <c r="AA26" s="229"/>
      <c r="AB26" s="229"/>
      <c r="AC26" s="229"/>
      <c r="AD26" s="241"/>
      <c r="AE26" s="241"/>
      <c r="AF26" s="229"/>
      <c r="AG26" s="229"/>
      <c r="AH26" s="229"/>
      <c r="AI26" s="40"/>
    </row>
    <row r="27" spans="3:35" ht="8.5500000000000007" customHeight="1" x14ac:dyDescent="0.3">
      <c r="C27" s="40"/>
      <c r="D27" s="229"/>
      <c r="E27" s="229"/>
      <c r="F27" s="229"/>
      <c r="G27" s="229"/>
      <c r="H27" s="233"/>
      <c r="I27" s="49"/>
      <c r="J27" s="49"/>
      <c r="K27" s="49"/>
      <c r="L27" s="49"/>
      <c r="M27" s="49"/>
      <c r="N27" s="49"/>
      <c r="O27" s="49"/>
      <c r="P27" s="49"/>
      <c r="Q27" s="49"/>
      <c r="R27" s="49"/>
      <c r="S27" s="49"/>
      <c r="T27" s="49"/>
      <c r="U27" s="49"/>
      <c r="V27" s="144"/>
      <c r="W27" s="144"/>
      <c r="X27" s="240"/>
      <c r="Y27" s="227"/>
      <c r="Z27" s="235"/>
      <c r="AA27" s="229"/>
      <c r="AB27" s="229"/>
      <c r="AC27" s="229"/>
      <c r="AD27" s="241"/>
      <c r="AE27" s="241"/>
      <c r="AF27" s="229"/>
      <c r="AG27" s="229"/>
      <c r="AH27" s="229"/>
      <c r="AI27" s="40"/>
    </row>
    <row r="28" spans="3:35" ht="15" customHeight="1" x14ac:dyDescent="0.3">
      <c r="C28" s="40"/>
      <c r="D28" s="229"/>
      <c r="E28" s="229"/>
      <c r="F28" s="229"/>
      <c r="G28" s="229"/>
      <c r="H28" s="233"/>
      <c r="I28" s="49"/>
      <c r="J28" s="49"/>
      <c r="K28" s="437" t="s">
        <v>1</v>
      </c>
      <c r="L28" s="437"/>
      <c r="M28" s="437"/>
      <c r="N28" s="437"/>
      <c r="O28" s="437"/>
      <c r="P28" s="437"/>
      <c r="Q28" s="437"/>
      <c r="R28" s="437"/>
      <c r="S28" s="437"/>
      <c r="T28" s="437"/>
      <c r="U28" s="437"/>
      <c r="V28" s="350">
        <f>(V11*V12)+(IF(V14&gt;0,6+(V14*V15),0))+((V17*V18)*(V19/52)*(V20/100))+((V22*V23)*(V24/52)*(V25/100))</f>
        <v>0</v>
      </c>
      <c r="W28" s="245"/>
      <c r="X28" s="246" t="s">
        <v>4</v>
      </c>
      <c r="Y28" s="227"/>
      <c r="Z28" s="235"/>
      <c r="AA28" s="229"/>
      <c r="AB28" s="229"/>
      <c r="AC28" s="229"/>
      <c r="AD28" s="241"/>
      <c r="AE28" s="241"/>
      <c r="AF28" s="229"/>
      <c r="AG28" s="229"/>
      <c r="AH28" s="229"/>
      <c r="AI28" s="40"/>
    </row>
    <row r="29" spans="3:35" ht="15" customHeight="1" x14ac:dyDescent="0.3">
      <c r="C29" s="40"/>
      <c r="D29" s="229"/>
      <c r="E29" s="229"/>
      <c r="F29" s="229"/>
      <c r="G29" s="229"/>
      <c r="H29" s="233"/>
      <c r="I29" s="247"/>
      <c r="J29" s="247"/>
      <c r="K29" s="248"/>
      <c r="L29" s="248"/>
      <c r="M29" s="248"/>
      <c r="N29" s="248"/>
      <c r="O29" s="248"/>
      <c r="P29" s="248"/>
      <c r="Q29" s="248"/>
      <c r="R29" s="248"/>
      <c r="S29" s="248"/>
      <c r="T29" s="248"/>
      <c r="U29" s="248"/>
      <c r="V29" s="249"/>
      <c r="W29" s="249"/>
      <c r="X29" s="250"/>
      <c r="Y29" s="227"/>
      <c r="Z29" s="235"/>
      <c r="AA29" s="229"/>
      <c r="AB29" s="229"/>
      <c r="AC29" s="229"/>
      <c r="AD29" s="241"/>
      <c r="AE29" s="241"/>
      <c r="AF29" s="229"/>
      <c r="AG29" s="229"/>
      <c r="AH29" s="229"/>
      <c r="AI29" s="40"/>
    </row>
    <row r="30" spans="3:35" ht="15" customHeight="1" x14ac:dyDescent="0.3">
      <c r="C30" s="40"/>
      <c r="D30" s="229"/>
      <c r="E30" s="229"/>
      <c r="F30" s="229"/>
      <c r="G30" s="229"/>
      <c r="H30" s="233"/>
      <c r="I30" s="49"/>
      <c r="J30" s="49"/>
      <c r="K30" s="197"/>
      <c r="L30" s="197"/>
      <c r="M30" s="197"/>
      <c r="N30" s="197"/>
      <c r="O30" s="197"/>
      <c r="P30" s="197"/>
      <c r="Q30" s="197"/>
      <c r="R30" s="197"/>
      <c r="S30" s="197"/>
      <c r="T30" s="197"/>
      <c r="U30" s="197"/>
      <c r="V30" s="245"/>
      <c r="W30" s="245"/>
      <c r="X30" s="246"/>
      <c r="Y30" s="227"/>
      <c r="Z30" s="235"/>
      <c r="AA30" s="229"/>
      <c r="AB30" s="229"/>
      <c r="AC30" s="229"/>
      <c r="AD30" s="241"/>
      <c r="AE30" s="241"/>
      <c r="AF30" s="229"/>
      <c r="AG30" s="229"/>
      <c r="AH30" s="229"/>
      <c r="AI30" s="40"/>
    </row>
    <row r="31" spans="3:35" ht="15" customHeight="1" x14ac:dyDescent="0.3">
      <c r="C31" s="40"/>
      <c r="D31" s="229"/>
      <c r="E31" s="229"/>
      <c r="F31" s="229"/>
      <c r="G31" s="229"/>
      <c r="H31" s="233"/>
      <c r="I31" s="49"/>
      <c r="J31" s="48" t="s">
        <v>8</v>
      </c>
      <c r="K31" s="361" t="s">
        <v>355</v>
      </c>
      <c r="L31" s="361"/>
      <c r="M31" s="361"/>
      <c r="N31" s="361"/>
      <c r="O31" s="197"/>
      <c r="P31" s="197"/>
      <c r="Q31" s="197"/>
      <c r="R31" s="197"/>
      <c r="S31" s="197"/>
      <c r="T31" s="197"/>
      <c r="U31" s="197"/>
      <c r="V31" s="245"/>
      <c r="W31" s="245"/>
      <c r="X31" s="246"/>
      <c r="Y31" s="227"/>
      <c r="Z31" s="235"/>
      <c r="AA31" s="229"/>
      <c r="AB31" s="229"/>
      <c r="AC31" s="229"/>
      <c r="AD31" s="241"/>
      <c r="AE31" s="241"/>
      <c r="AF31" s="229"/>
      <c r="AG31" s="229"/>
      <c r="AH31" s="229"/>
      <c r="AI31" s="40"/>
    </row>
    <row r="32" spans="3:35" ht="15" customHeight="1" x14ac:dyDescent="0.3">
      <c r="C32" s="40"/>
      <c r="D32" s="229"/>
      <c r="E32" s="229"/>
      <c r="F32" s="229"/>
      <c r="G32" s="229"/>
      <c r="H32" s="233"/>
      <c r="I32" s="49"/>
      <c r="J32" s="49"/>
      <c r="K32" s="197"/>
      <c r="L32" s="197"/>
      <c r="M32" s="197"/>
      <c r="N32" s="197"/>
      <c r="O32" s="197"/>
      <c r="P32" s="197"/>
      <c r="Q32" s="197"/>
      <c r="R32" s="197"/>
      <c r="S32" s="197"/>
      <c r="T32" s="197"/>
      <c r="U32" s="197"/>
      <c r="V32" s="245"/>
      <c r="W32" s="245"/>
      <c r="X32" s="246"/>
      <c r="Y32" s="227"/>
      <c r="Z32" s="235"/>
      <c r="AA32" s="229"/>
      <c r="AB32" s="229"/>
      <c r="AC32" s="229"/>
      <c r="AD32" s="241"/>
      <c r="AE32" s="241"/>
      <c r="AF32" s="229"/>
      <c r="AG32" s="229"/>
      <c r="AH32" s="229"/>
      <c r="AI32" s="40"/>
    </row>
    <row r="33" spans="2:47" ht="15" customHeight="1" x14ac:dyDescent="0.3">
      <c r="C33" s="40"/>
      <c r="D33" s="229"/>
      <c r="E33" s="229"/>
      <c r="F33" s="229"/>
      <c r="G33" s="229"/>
      <c r="H33" s="233"/>
      <c r="I33" s="49"/>
      <c r="J33" s="49"/>
      <c r="K33" s="375" t="s">
        <v>9</v>
      </c>
      <c r="L33" s="375"/>
      <c r="M33" s="375"/>
      <c r="N33" s="375"/>
      <c r="O33" s="197"/>
      <c r="P33" s="197"/>
      <c r="Q33" s="197"/>
      <c r="R33" s="197"/>
      <c r="S33" s="197"/>
      <c r="T33" s="197"/>
      <c r="U33" s="197"/>
      <c r="V33" s="349">
        <v>110</v>
      </c>
      <c r="W33" s="245"/>
      <c r="X33" s="439" t="s">
        <v>59</v>
      </c>
      <c r="Y33" s="439"/>
      <c r="Z33" s="235"/>
      <c r="AA33" s="229"/>
      <c r="AB33" s="229"/>
      <c r="AC33" s="229"/>
      <c r="AD33" s="241"/>
      <c r="AE33" s="241"/>
      <c r="AF33" s="229"/>
      <c r="AG33" s="229"/>
      <c r="AH33" s="229"/>
      <c r="AI33" s="40"/>
    </row>
    <row r="34" spans="2:47" ht="15" customHeight="1" x14ac:dyDescent="0.3">
      <c r="C34" s="40"/>
      <c r="D34" s="229"/>
      <c r="E34" s="229"/>
      <c r="F34" s="229"/>
      <c r="G34" s="229"/>
      <c r="H34" s="233"/>
      <c r="I34" s="49"/>
      <c r="J34" s="49"/>
      <c r="K34" s="197"/>
      <c r="L34" s="197"/>
      <c r="M34" s="197"/>
      <c r="N34" s="197"/>
      <c r="O34" s="197"/>
      <c r="P34" s="197"/>
      <c r="Q34" s="197"/>
      <c r="R34" s="197"/>
      <c r="S34" s="197"/>
      <c r="T34" s="197"/>
      <c r="U34" s="197"/>
      <c r="V34" s="245"/>
      <c r="W34" s="245"/>
      <c r="X34" s="246"/>
      <c r="Y34" s="227"/>
      <c r="Z34" s="235"/>
      <c r="AA34" s="229"/>
      <c r="AB34" s="229"/>
      <c r="AC34" s="229"/>
      <c r="AD34" s="241"/>
      <c r="AE34" s="241"/>
      <c r="AF34" s="229"/>
      <c r="AG34" s="229"/>
      <c r="AH34" s="229"/>
      <c r="AI34" s="40"/>
    </row>
    <row r="35" spans="2:47" ht="15.6" x14ac:dyDescent="0.3">
      <c r="C35" s="40"/>
      <c r="D35" s="229"/>
      <c r="E35" s="229"/>
      <c r="F35" s="229"/>
      <c r="G35" s="229"/>
      <c r="H35" s="233"/>
      <c r="I35" s="49"/>
      <c r="J35" s="49"/>
      <c r="K35" s="390" t="s">
        <v>11</v>
      </c>
      <c r="L35" s="390"/>
      <c r="M35" s="390"/>
      <c r="N35" s="390"/>
      <c r="O35" s="390"/>
      <c r="P35" s="390"/>
      <c r="Q35" s="390"/>
      <c r="R35" s="390"/>
      <c r="S35" s="49"/>
      <c r="T35" s="49"/>
      <c r="U35" s="49"/>
      <c r="V35" s="251">
        <f>V33*V28</f>
        <v>0</v>
      </c>
      <c r="W35" s="245"/>
      <c r="X35" s="246" t="s">
        <v>10</v>
      </c>
      <c r="Y35" s="227"/>
      <c r="Z35" s="235"/>
      <c r="AA35" s="229"/>
      <c r="AB35" s="229"/>
      <c r="AC35" s="229"/>
      <c r="AD35" s="241"/>
      <c r="AE35" s="241"/>
      <c r="AF35" s="229"/>
      <c r="AG35" s="229"/>
      <c r="AH35" s="229"/>
      <c r="AI35" s="40"/>
    </row>
    <row r="36" spans="2:47" ht="16.05" customHeight="1" x14ac:dyDescent="0.3">
      <c r="C36" s="40"/>
      <c r="D36" s="229"/>
      <c r="E36" s="229"/>
      <c r="F36" s="229"/>
      <c r="G36" s="229"/>
      <c r="H36" s="233"/>
      <c r="I36" s="436"/>
      <c r="J36" s="436"/>
      <c r="K36" s="436"/>
      <c r="L36" s="436"/>
      <c r="M36" s="436"/>
      <c r="N36" s="436"/>
      <c r="O36" s="436"/>
      <c r="P36" s="436"/>
      <c r="Q36" s="436"/>
      <c r="R36" s="436"/>
      <c r="S36" s="436"/>
      <c r="T36" s="436"/>
      <c r="U36" s="436"/>
      <c r="V36" s="436"/>
      <c r="W36" s="436"/>
      <c r="X36" s="436"/>
      <c r="Y36" s="236"/>
      <c r="Z36" s="235"/>
      <c r="AA36" s="229"/>
      <c r="AB36" s="229"/>
      <c r="AC36" s="229"/>
      <c r="AD36" s="241"/>
      <c r="AE36" s="241"/>
      <c r="AF36" s="229"/>
      <c r="AG36" s="229"/>
      <c r="AH36" s="229"/>
      <c r="AI36" s="40"/>
    </row>
    <row r="37" spans="2:47" ht="11.1" customHeight="1" thickBot="1" x14ac:dyDescent="0.35">
      <c r="C37" s="190"/>
      <c r="D37" s="252"/>
      <c r="E37" s="252"/>
      <c r="F37" s="252"/>
      <c r="G37" s="253"/>
      <c r="H37" s="233"/>
      <c r="I37" s="49"/>
      <c r="J37" s="49"/>
      <c r="K37" s="49"/>
      <c r="L37" s="49"/>
      <c r="M37" s="254"/>
      <c r="N37" s="254"/>
      <c r="O37" s="254"/>
      <c r="P37" s="254"/>
      <c r="Q37" s="254"/>
      <c r="R37" s="254"/>
      <c r="S37" s="254"/>
      <c r="T37" s="254"/>
      <c r="U37" s="254"/>
      <c r="V37" s="254"/>
      <c r="W37" s="254"/>
      <c r="X37" s="254"/>
      <c r="Y37" s="255"/>
      <c r="Z37" s="235"/>
      <c r="AA37" s="252"/>
      <c r="AB37" s="252"/>
      <c r="AC37" s="252"/>
      <c r="AD37" s="256"/>
      <c r="AE37" s="256"/>
      <c r="AF37" s="252"/>
      <c r="AG37" s="252"/>
      <c r="AH37" s="252"/>
      <c r="AI37" s="40"/>
    </row>
    <row r="38" spans="2:47" ht="53.55" customHeight="1" x14ac:dyDescent="0.3">
      <c r="C38" s="43"/>
      <c r="D38" s="49"/>
      <c r="E38" s="49"/>
      <c r="F38" s="49"/>
      <c r="G38" s="49"/>
      <c r="H38" s="49"/>
      <c r="I38" s="361" t="s">
        <v>520</v>
      </c>
      <c r="J38" s="361"/>
      <c r="K38" s="361"/>
      <c r="L38" s="361"/>
      <c r="M38" s="361"/>
      <c r="N38" s="361"/>
      <c r="O38" s="361"/>
      <c r="P38" s="361"/>
      <c r="Q38" s="361"/>
      <c r="R38" s="361"/>
      <c r="S38" s="361"/>
      <c r="T38" s="361"/>
      <c r="U38" s="361"/>
      <c r="V38" s="361"/>
      <c r="W38" s="361"/>
      <c r="X38" s="361"/>
      <c r="Y38" s="254"/>
      <c r="Z38" s="49"/>
      <c r="AA38" s="49"/>
      <c r="AB38" s="49"/>
      <c r="AC38" s="49"/>
      <c r="AD38" s="144"/>
      <c r="AE38" s="144"/>
      <c r="AF38" s="49"/>
      <c r="AG38" s="49"/>
      <c r="AH38" s="49"/>
      <c r="AI38" s="45"/>
      <c r="AJ38" s="34"/>
    </row>
    <row r="39" spans="2:47" ht="11.1" customHeight="1" x14ac:dyDescent="0.3">
      <c r="B39" s="17"/>
      <c r="C39" s="42"/>
      <c r="D39" s="49"/>
      <c r="E39" s="49"/>
      <c r="F39" s="49"/>
      <c r="G39" s="49"/>
      <c r="H39" s="49"/>
      <c r="I39" s="49"/>
      <c r="J39" s="49"/>
      <c r="K39" s="49"/>
      <c r="L39" s="49"/>
      <c r="M39" s="254"/>
      <c r="N39" s="254"/>
      <c r="O39" s="254"/>
      <c r="P39" s="254"/>
      <c r="Q39" s="254"/>
      <c r="R39" s="254"/>
      <c r="S39" s="254"/>
      <c r="T39" s="254"/>
      <c r="U39" s="254"/>
      <c r="V39" s="254"/>
      <c r="W39" s="254"/>
      <c r="X39" s="254"/>
      <c r="Y39" s="254"/>
      <c r="Z39" s="49"/>
      <c r="AA39" s="49"/>
      <c r="AB39" s="49"/>
      <c r="AC39" s="49"/>
      <c r="AD39" s="144"/>
      <c r="AE39" s="144"/>
      <c r="AF39" s="49"/>
      <c r="AG39" s="49"/>
      <c r="AH39" s="49"/>
      <c r="AI39" s="47"/>
      <c r="AJ39" s="34"/>
    </row>
    <row r="40" spans="2:47" ht="15" customHeight="1" x14ac:dyDescent="0.3">
      <c r="B40" s="17"/>
      <c r="C40" s="42"/>
      <c r="D40" s="49"/>
      <c r="E40" s="375" t="s">
        <v>521</v>
      </c>
      <c r="F40" s="375"/>
      <c r="G40" s="375"/>
      <c r="H40" s="375"/>
      <c r="I40" s="375"/>
      <c r="J40" s="375"/>
      <c r="K40" s="375"/>
      <c r="L40" s="142"/>
      <c r="M40" s="254"/>
      <c r="N40" s="257" t="s">
        <v>61</v>
      </c>
      <c r="O40" s="254"/>
      <c r="P40" s="254"/>
      <c r="Q40" s="254"/>
      <c r="R40" s="254"/>
      <c r="S40" s="254"/>
      <c r="T40" s="254"/>
      <c r="U40" s="254"/>
      <c r="V40" s="438" t="s">
        <v>353</v>
      </c>
      <c r="W40" s="438"/>
      <c r="X40" s="438"/>
      <c r="Y40" s="438"/>
      <c r="Z40" s="438"/>
      <c r="AA40" s="438"/>
      <c r="AB40" s="438"/>
      <c r="AC40" s="438"/>
      <c r="AD40" s="238" t="s">
        <v>61</v>
      </c>
      <c r="AE40" s="239"/>
      <c r="AF40" s="49"/>
      <c r="AG40" s="49"/>
      <c r="AH40" s="49"/>
      <c r="AI40" s="47"/>
    </row>
    <row r="41" spans="2:47" ht="11.1" customHeight="1" x14ac:dyDescent="0.3">
      <c r="B41" s="17"/>
      <c r="C41" s="42"/>
      <c r="D41" s="49"/>
      <c r="E41" s="375"/>
      <c r="F41" s="375"/>
      <c r="G41" s="375"/>
      <c r="H41" s="375"/>
      <c r="I41" s="375"/>
      <c r="J41" s="375"/>
      <c r="K41" s="375"/>
      <c r="L41" s="142"/>
      <c r="M41" s="254"/>
      <c r="N41" s="254"/>
      <c r="O41" s="254"/>
      <c r="P41" s="254"/>
      <c r="Q41" s="254"/>
      <c r="R41" s="254"/>
      <c r="S41" s="254"/>
      <c r="T41" s="254"/>
      <c r="U41" s="254"/>
      <c r="V41" s="254"/>
      <c r="W41" s="254"/>
      <c r="X41" s="254"/>
      <c r="Y41" s="254"/>
      <c r="Z41" s="49"/>
      <c r="AA41" s="49"/>
      <c r="AB41" s="49"/>
      <c r="AC41" s="49"/>
      <c r="AD41" s="144"/>
      <c r="AE41" s="144"/>
      <c r="AF41" s="49"/>
      <c r="AG41" s="49"/>
      <c r="AH41" s="49"/>
      <c r="AI41" s="47"/>
    </row>
    <row r="42" spans="2:47" ht="27.6" customHeight="1" x14ac:dyDescent="0.3">
      <c r="C42" s="46"/>
      <c r="D42" s="142" t="s">
        <v>370</v>
      </c>
      <c r="E42" s="371" t="s">
        <v>509</v>
      </c>
      <c r="F42" s="371"/>
      <c r="G42" s="371"/>
      <c r="H42" s="371"/>
      <c r="I42" s="371"/>
      <c r="J42" s="371"/>
      <c r="K42" s="371"/>
      <c r="L42" s="371"/>
      <c r="M42" s="371"/>
      <c r="N42" s="371"/>
      <c r="O42" s="371"/>
      <c r="P42" s="371"/>
      <c r="Q42" s="371"/>
      <c r="R42" s="258"/>
      <c r="S42" s="49"/>
      <c r="T42" s="142" t="s">
        <v>371</v>
      </c>
      <c r="U42" s="440" t="s">
        <v>358</v>
      </c>
      <c r="V42" s="440"/>
      <c r="W42" s="440"/>
      <c r="X42" s="440"/>
      <c r="Y42" s="440"/>
      <c r="Z42" s="440"/>
      <c r="AA42" s="440"/>
      <c r="AB42" s="440"/>
      <c r="AC42" s="440"/>
      <c r="AD42" s="440"/>
      <c r="AE42" s="440"/>
      <c r="AF42" s="440"/>
      <c r="AG42" s="440"/>
      <c r="AH42" s="440"/>
      <c r="AI42" s="47"/>
    </row>
    <row r="43" spans="2:47" ht="14.55" customHeight="1" x14ac:dyDescent="0.3">
      <c r="C43" s="46"/>
      <c r="D43" s="436" t="s">
        <v>595</v>
      </c>
      <c r="E43" s="436"/>
      <c r="F43" s="436"/>
      <c r="G43" s="436"/>
      <c r="H43" s="436"/>
      <c r="I43" s="436"/>
      <c r="J43" s="436"/>
      <c r="K43" s="436"/>
      <c r="L43" s="436"/>
      <c r="M43" s="436"/>
      <c r="N43" s="436"/>
      <c r="O43" s="436"/>
      <c r="P43" s="436"/>
      <c r="Q43" s="436"/>
      <c r="R43" s="258"/>
      <c r="S43" s="49"/>
      <c r="T43" s="436" t="s">
        <v>354</v>
      </c>
      <c r="U43" s="436"/>
      <c r="V43" s="436"/>
      <c r="W43" s="436"/>
      <c r="X43" s="436"/>
      <c r="Y43" s="436"/>
      <c r="Z43" s="436"/>
      <c r="AA43" s="436"/>
      <c r="AB43" s="436"/>
      <c r="AC43" s="436"/>
      <c r="AD43" s="436"/>
      <c r="AE43" s="436"/>
      <c r="AF43" s="436"/>
      <c r="AG43" s="436"/>
      <c r="AH43" s="436"/>
      <c r="AI43" s="47"/>
    </row>
    <row r="44" spans="2:47" ht="23.1" customHeight="1" x14ac:dyDescent="0.3">
      <c r="C44" s="46"/>
      <c r="D44" s="436"/>
      <c r="E44" s="436"/>
      <c r="F44" s="436"/>
      <c r="G44" s="436"/>
      <c r="H44" s="436"/>
      <c r="I44" s="436"/>
      <c r="J44" s="436"/>
      <c r="K44" s="436"/>
      <c r="L44" s="436"/>
      <c r="M44" s="436"/>
      <c r="N44" s="436"/>
      <c r="O44" s="436"/>
      <c r="P44" s="436"/>
      <c r="Q44" s="436"/>
      <c r="R44" s="258"/>
      <c r="S44" s="49"/>
      <c r="T44" s="436"/>
      <c r="U44" s="436"/>
      <c r="V44" s="436"/>
      <c r="W44" s="436"/>
      <c r="X44" s="436"/>
      <c r="Y44" s="436"/>
      <c r="Z44" s="436"/>
      <c r="AA44" s="436"/>
      <c r="AB44" s="436"/>
      <c r="AC44" s="436"/>
      <c r="AD44" s="436"/>
      <c r="AE44" s="436"/>
      <c r="AF44" s="436"/>
      <c r="AG44" s="436"/>
      <c r="AH44" s="436"/>
      <c r="AI44" s="47"/>
    </row>
    <row r="45" spans="2:47" ht="79.05" customHeight="1" x14ac:dyDescent="0.3">
      <c r="C45" s="46"/>
      <c r="D45" s="436"/>
      <c r="E45" s="436"/>
      <c r="F45" s="436"/>
      <c r="G45" s="436"/>
      <c r="H45" s="436"/>
      <c r="I45" s="436"/>
      <c r="J45" s="436"/>
      <c r="K45" s="436"/>
      <c r="L45" s="436"/>
      <c r="M45" s="436"/>
      <c r="N45" s="436"/>
      <c r="O45" s="436"/>
      <c r="P45" s="436"/>
      <c r="Q45" s="436"/>
      <c r="R45" s="258"/>
      <c r="S45" s="49"/>
      <c r="T45" s="436"/>
      <c r="U45" s="436"/>
      <c r="V45" s="436"/>
      <c r="W45" s="436"/>
      <c r="X45" s="436"/>
      <c r="Y45" s="436"/>
      <c r="Z45" s="436"/>
      <c r="AA45" s="436"/>
      <c r="AB45" s="436"/>
      <c r="AC45" s="436"/>
      <c r="AD45" s="436"/>
      <c r="AE45" s="436"/>
      <c r="AF45" s="436"/>
      <c r="AG45" s="436"/>
      <c r="AH45" s="436"/>
      <c r="AI45" s="47"/>
    </row>
    <row r="46" spans="2:47" ht="2.5499999999999998" customHeight="1" x14ac:dyDescent="0.3">
      <c r="C46" s="46"/>
      <c r="D46" s="247"/>
      <c r="E46" s="247"/>
      <c r="F46" s="247"/>
      <c r="G46" s="247"/>
      <c r="H46" s="247"/>
      <c r="I46" s="247"/>
      <c r="J46" s="247"/>
      <c r="K46" s="247"/>
      <c r="L46" s="247"/>
      <c r="M46" s="247"/>
      <c r="N46" s="247"/>
      <c r="O46" s="247"/>
      <c r="P46" s="247"/>
      <c r="Q46" s="247"/>
      <c r="R46" s="258"/>
      <c r="S46" s="49"/>
      <c r="T46" s="247"/>
      <c r="U46" s="247"/>
      <c r="V46" s="247"/>
      <c r="W46" s="247"/>
      <c r="X46" s="247"/>
      <c r="Y46" s="247"/>
      <c r="Z46" s="247"/>
      <c r="AA46" s="247"/>
      <c r="AB46" s="247"/>
      <c r="AC46" s="247"/>
      <c r="AD46" s="247"/>
      <c r="AE46" s="247"/>
      <c r="AF46" s="247"/>
      <c r="AG46" s="247"/>
      <c r="AH46" s="247"/>
      <c r="AI46" s="47"/>
    </row>
    <row r="47" spans="2:47" ht="12.6" customHeight="1" x14ac:dyDescent="0.3">
      <c r="C47" s="46"/>
      <c r="D47" s="259"/>
      <c r="E47" s="259"/>
      <c r="F47" s="259"/>
      <c r="G47" s="259"/>
      <c r="H47" s="259"/>
      <c r="I47" s="259"/>
      <c r="J47" s="259"/>
      <c r="K47" s="259"/>
      <c r="L47" s="49"/>
      <c r="M47" s="49"/>
      <c r="N47" s="49"/>
      <c r="O47" s="49"/>
      <c r="P47" s="49"/>
      <c r="Q47" s="49"/>
      <c r="R47" s="258"/>
      <c r="S47" s="49"/>
      <c r="T47" s="66"/>
      <c r="U47" s="49"/>
      <c r="V47" s="49"/>
      <c r="W47" s="49"/>
      <c r="X47" s="49"/>
      <c r="Y47" s="49"/>
      <c r="Z47" s="49"/>
      <c r="AA47" s="49"/>
      <c r="AB47" s="49"/>
      <c r="AC47" s="49"/>
      <c r="AD47" s="49"/>
      <c r="AE47" s="49"/>
      <c r="AF47" s="49"/>
      <c r="AG47" s="49"/>
      <c r="AH47" s="49"/>
      <c r="AI47" s="47"/>
    </row>
    <row r="48" spans="2:47" ht="17.100000000000001" customHeight="1" x14ac:dyDescent="0.3">
      <c r="C48" s="46"/>
      <c r="D48" s="375" t="s">
        <v>510</v>
      </c>
      <c r="E48" s="375"/>
      <c r="F48" s="375"/>
      <c r="G48" s="375"/>
      <c r="H48" s="375"/>
      <c r="I48" s="375"/>
      <c r="J48" s="375"/>
      <c r="K48" s="144" t="s">
        <v>2</v>
      </c>
      <c r="L48" s="144"/>
      <c r="M48" s="49"/>
      <c r="N48" s="144" t="s">
        <v>3</v>
      </c>
      <c r="O48" s="49"/>
      <c r="P48" s="49"/>
      <c r="Q48" s="49"/>
      <c r="R48" s="258"/>
      <c r="S48" s="49"/>
      <c r="T48" s="375" t="s">
        <v>485</v>
      </c>
      <c r="U48" s="375"/>
      <c r="V48" s="375"/>
      <c r="W48" s="375"/>
      <c r="X48" s="375"/>
      <c r="Y48" s="375"/>
      <c r="Z48" s="375"/>
      <c r="AA48" s="375"/>
      <c r="AB48" s="375"/>
      <c r="AC48" s="375"/>
      <c r="AD48" s="144" t="s">
        <v>2</v>
      </c>
      <c r="AE48" s="49"/>
      <c r="AF48" s="49"/>
      <c r="AG48" s="49" t="s">
        <v>3</v>
      </c>
      <c r="AH48" s="49"/>
      <c r="AI48" s="47"/>
      <c r="AL48" s="20"/>
      <c r="AS48" s="21"/>
      <c r="AU48" s="21"/>
    </row>
    <row r="49" spans="2:50" ht="15.6" x14ac:dyDescent="0.3">
      <c r="C49" s="46"/>
      <c r="D49" s="49"/>
      <c r="E49" s="49"/>
      <c r="F49" s="49"/>
      <c r="G49" s="49"/>
      <c r="H49" s="49"/>
      <c r="I49" s="49"/>
      <c r="J49" s="49"/>
      <c r="K49" s="144"/>
      <c r="L49" s="144"/>
      <c r="M49" s="49"/>
      <c r="N49" s="144"/>
      <c r="O49" s="49"/>
      <c r="P49" s="49"/>
      <c r="Q49" s="49"/>
      <c r="R49" s="258"/>
      <c r="S49" s="49"/>
      <c r="T49" s="66"/>
      <c r="U49" s="49"/>
      <c r="V49" s="49"/>
      <c r="W49" s="49"/>
      <c r="X49" s="49"/>
      <c r="Y49" s="49"/>
      <c r="Z49" s="49"/>
      <c r="AA49" s="49"/>
      <c r="AB49" s="49"/>
      <c r="AC49" s="49"/>
      <c r="AD49" s="49"/>
      <c r="AE49" s="49"/>
      <c r="AF49" s="49"/>
      <c r="AG49" s="49"/>
      <c r="AH49" s="49"/>
      <c r="AI49" s="47"/>
      <c r="AL49" s="20"/>
      <c r="AS49" s="21"/>
      <c r="AU49" s="21"/>
    </row>
    <row r="50" spans="2:50" ht="16.5" customHeight="1" x14ac:dyDescent="0.3">
      <c r="C50" s="46"/>
      <c r="D50" s="375" t="s">
        <v>511</v>
      </c>
      <c r="E50" s="375"/>
      <c r="F50" s="375"/>
      <c r="G50" s="375"/>
      <c r="H50" s="375"/>
      <c r="I50" s="375"/>
      <c r="J50" s="375"/>
      <c r="K50" s="260" t="s">
        <v>266</v>
      </c>
      <c r="L50" s="261"/>
      <c r="M50" s="49"/>
      <c r="N50" s="244"/>
      <c r="O50" s="49"/>
      <c r="P50" s="49"/>
      <c r="Q50" s="49"/>
      <c r="R50" s="258"/>
      <c r="S50" s="49"/>
      <c r="T50" s="375" t="s">
        <v>356</v>
      </c>
      <c r="U50" s="375"/>
      <c r="V50" s="375"/>
      <c r="W50" s="375"/>
      <c r="X50" s="375"/>
      <c r="Y50" s="375"/>
      <c r="Z50" s="375"/>
      <c r="AA50" s="375"/>
      <c r="AB50" s="375"/>
      <c r="AC50" s="49"/>
      <c r="AD50" s="262" t="s">
        <v>362</v>
      </c>
      <c r="AE50" s="263"/>
      <c r="AF50" s="49"/>
      <c r="AG50" s="240"/>
      <c r="AH50" s="49"/>
      <c r="AI50" s="47"/>
      <c r="AL50" s="23"/>
      <c r="AT50" s="25"/>
    </row>
    <row r="51" spans="2:50" ht="17.55" customHeight="1" x14ac:dyDescent="0.3">
      <c r="C51" s="46"/>
      <c r="D51" s="49"/>
      <c r="E51" s="49"/>
      <c r="F51" s="49"/>
      <c r="G51" s="49"/>
      <c r="H51" s="49"/>
      <c r="I51" s="49"/>
      <c r="J51" s="49"/>
      <c r="K51" s="49" t="s">
        <v>530</v>
      </c>
      <c r="L51" s="49" t="str">
        <f>IF(ISNUMBER(L52),"Post 2025 discharge","")</f>
        <v/>
      </c>
      <c r="M51" s="49" t="s">
        <v>531</v>
      </c>
      <c r="N51" s="240"/>
      <c r="O51" s="49"/>
      <c r="P51" s="49"/>
      <c r="Q51" s="49"/>
      <c r="R51" s="258"/>
      <c r="S51" s="49"/>
      <c r="T51" s="375" t="s">
        <v>77</v>
      </c>
      <c r="U51" s="375"/>
      <c r="V51" s="375"/>
      <c r="W51" s="375"/>
      <c r="X51" s="375"/>
      <c r="Y51" s="375"/>
      <c r="Z51" s="375"/>
      <c r="AA51" s="375"/>
      <c r="AB51" s="49"/>
      <c r="AC51" s="49"/>
      <c r="AD51" s="264"/>
      <c r="AE51" s="264"/>
      <c r="AF51" s="265"/>
      <c r="AG51" s="240"/>
      <c r="AH51" s="49"/>
      <c r="AI51" s="47"/>
      <c r="AU51" s="26"/>
    </row>
    <row r="52" spans="2:50" ht="27" customHeight="1" x14ac:dyDescent="0.3">
      <c r="C52" s="46"/>
      <c r="D52" s="375" t="s">
        <v>512</v>
      </c>
      <c r="E52" s="375"/>
      <c r="F52" s="375"/>
      <c r="G52" s="49"/>
      <c r="H52" s="49"/>
      <c r="I52" s="49"/>
      <c r="J52" s="49"/>
      <c r="K52" s="266">
        <f>INDEX(permits,MATCH('Stage 1'!K50,Wastewater,0),3)</f>
        <v>1.57</v>
      </c>
      <c r="L52" s="264" t="str">
        <f>IF(INDEX(permits,MATCH('Stage 1'!K50,Wastewater,0),6)=K52,"",INDEX(permits,MATCH('Stage 1'!K50,Wastewater,0),6))</f>
        <v/>
      </c>
      <c r="M52" s="356">
        <f>INDEX(permits_2030,MATCH('Stage 1'!K50,Wastewater,0),9)</f>
        <v>1.57</v>
      </c>
      <c r="N52" s="240" t="s">
        <v>357</v>
      </c>
      <c r="O52" s="49"/>
      <c r="P52" s="237"/>
      <c r="Q52" s="49"/>
      <c r="R52" s="258"/>
      <c r="S52" s="49"/>
      <c r="T52" s="375" t="s">
        <v>359</v>
      </c>
      <c r="U52" s="375"/>
      <c r="V52" s="375"/>
      <c r="W52" s="375"/>
      <c r="X52" s="375"/>
      <c r="Y52" s="49"/>
      <c r="Z52" s="49"/>
      <c r="AA52" s="49"/>
      <c r="AB52" s="49"/>
      <c r="AC52" s="49"/>
      <c r="AD52" s="267" t="e">
        <f>INDEX(Table3[],MATCH('Stage 1'!AD50,OsTWs,0),2)</f>
        <v>#N/A</v>
      </c>
      <c r="AE52" s="276"/>
      <c r="AF52" s="265"/>
      <c r="AG52" s="240" t="s">
        <v>357</v>
      </c>
      <c r="AH52" s="49"/>
      <c r="AI52" s="47"/>
      <c r="AL52" s="24"/>
      <c r="AS52" s="19"/>
      <c r="AU52" s="27"/>
      <c r="AW52" s="28"/>
    </row>
    <row r="53" spans="2:50" ht="28.5" customHeight="1" x14ac:dyDescent="0.3">
      <c r="C53" s="46"/>
      <c r="D53" s="142" t="s">
        <v>513</v>
      </c>
      <c r="E53" s="142"/>
      <c r="F53" s="142"/>
      <c r="G53" s="49"/>
      <c r="H53" s="49"/>
      <c r="I53" s="49"/>
      <c r="J53" s="49"/>
      <c r="K53" s="268">
        <f>INDEX(permits,MATCH('Stage 1'!K50,Wastewater,0),4)</f>
        <v>25</v>
      </c>
      <c r="L53" s="264"/>
      <c r="M53" s="356">
        <f>INDEX(permits_2030,MATCH('Stage 1'!K50,Wastewater,0),10)</f>
        <v>25</v>
      </c>
      <c r="N53" s="240" t="s">
        <v>357</v>
      </c>
      <c r="O53" s="49"/>
      <c r="P53" s="237"/>
      <c r="Q53" s="49"/>
      <c r="R53" s="258"/>
      <c r="S53" s="49"/>
      <c r="T53" s="375" t="s">
        <v>360</v>
      </c>
      <c r="U53" s="375"/>
      <c r="V53" s="375"/>
      <c r="W53" s="375"/>
      <c r="X53" s="375"/>
      <c r="Y53" s="49"/>
      <c r="Z53" s="49"/>
      <c r="AA53" s="49"/>
      <c r="AB53" s="49"/>
      <c r="AC53" s="49"/>
      <c r="AD53" s="267" t="e">
        <f>INDEX(Table3[],MATCH('Stage 1'!AD50,OsTWs,0),3)</f>
        <v>#N/A</v>
      </c>
      <c r="AE53" s="277"/>
      <c r="AF53" s="265"/>
      <c r="AG53" s="240" t="s">
        <v>357</v>
      </c>
      <c r="AH53" s="49"/>
      <c r="AI53" s="47"/>
      <c r="AL53" s="24"/>
      <c r="AS53" s="19"/>
      <c r="AU53" s="27"/>
      <c r="AW53" s="28"/>
    </row>
    <row r="54" spans="2:50" ht="15" customHeight="1" x14ac:dyDescent="0.3">
      <c r="C54" s="46"/>
      <c r="D54" s="146"/>
      <c r="E54" s="146"/>
      <c r="F54" s="146"/>
      <c r="G54" s="49"/>
      <c r="H54" s="49"/>
      <c r="I54" s="49"/>
      <c r="J54" s="49"/>
      <c r="K54" s="269"/>
      <c r="L54" s="269"/>
      <c r="M54" s="49"/>
      <c r="N54" s="246"/>
      <c r="O54" s="49"/>
      <c r="P54" s="237"/>
      <c r="Q54" s="49"/>
      <c r="R54" s="258"/>
      <c r="S54" s="49"/>
      <c r="T54" s="49"/>
      <c r="U54" s="49"/>
      <c r="V54" s="49"/>
      <c r="W54" s="49"/>
      <c r="X54" s="49"/>
      <c r="Y54" s="49"/>
      <c r="Z54" s="49"/>
      <c r="AA54" s="49"/>
      <c r="AB54" s="49"/>
      <c r="AC54" s="49"/>
      <c r="AD54" s="264"/>
      <c r="AE54" s="264"/>
      <c r="AF54" s="265"/>
      <c r="AG54" s="240"/>
      <c r="AH54" s="66"/>
      <c r="AI54" s="47"/>
      <c r="AL54" s="24"/>
      <c r="AS54" s="19"/>
      <c r="AU54" s="27"/>
      <c r="AW54" s="28"/>
    </row>
    <row r="55" spans="2:50" ht="78" customHeight="1" x14ac:dyDescent="0.3">
      <c r="C55" s="46"/>
      <c r="D55" s="436" t="s">
        <v>602</v>
      </c>
      <c r="E55" s="436"/>
      <c r="F55" s="436"/>
      <c r="G55" s="436"/>
      <c r="H55" s="436"/>
      <c r="I55" s="436"/>
      <c r="J55" s="436"/>
      <c r="K55" s="436"/>
      <c r="L55" s="436"/>
      <c r="M55" s="436"/>
      <c r="N55" s="436"/>
      <c r="O55" s="436"/>
      <c r="P55" s="436"/>
      <c r="Q55" s="436"/>
      <c r="R55" s="258"/>
      <c r="S55" s="49"/>
      <c r="T55" s="436" t="s">
        <v>361</v>
      </c>
      <c r="U55" s="436"/>
      <c r="V55" s="436"/>
      <c r="W55" s="436"/>
      <c r="X55" s="436"/>
      <c r="Y55" s="436"/>
      <c r="Z55" s="436"/>
      <c r="AA55" s="436"/>
      <c r="AB55" s="436"/>
      <c r="AC55" s="436"/>
      <c r="AD55" s="436"/>
      <c r="AE55" s="436"/>
      <c r="AF55" s="436"/>
      <c r="AG55" s="436"/>
      <c r="AH55" s="436"/>
      <c r="AI55" s="47"/>
      <c r="AL55" s="444"/>
      <c r="AM55" s="444"/>
      <c r="AN55" s="444"/>
      <c r="AO55" s="444"/>
      <c r="AP55" s="444"/>
      <c r="AQ55" s="444"/>
      <c r="AR55" s="444"/>
      <c r="AS55" s="444"/>
      <c r="AT55" s="444"/>
      <c r="AU55" s="444"/>
      <c r="AV55" s="444"/>
      <c r="AW55" s="444"/>
      <c r="AX55" s="444"/>
    </row>
    <row r="56" spans="2:50" ht="15.6" x14ac:dyDescent="0.3">
      <c r="C56" s="46"/>
      <c r="D56" s="270"/>
      <c r="E56" s="270"/>
      <c r="F56" s="270"/>
      <c r="G56" s="270"/>
      <c r="H56" s="270"/>
      <c r="I56" s="270"/>
      <c r="J56" s="270"/>
      <c r="K56" s="247"/>
      <c r="L56" s="247"/>
      <c r="M56" s="270"/>
      <c r="N56" s="270"/>
      <c r="O56" s="270"/>
      <c r="P56" s="270"/>
      <c r="Q56" s="270"/>
      <c r="R56" s="258"/>
      <c r="S56" s="49"/>
      <c r="T56" s="247"/>
      <c r="U56" s="247"/>
      <c r="V56" s="247"/>
      <c r="W56" s="247"/>
      <c r="X56" s="247"/>
      <c r="Y56" s="247"/>
      <c r="Z56" s="247"/>
      <c r="AA56" s="247"/>
      <c r="AB56" s="247"/>
      <c r="AC56" s="247"/>
      <c r="AD56" s="247"/>
      <c r="AE56" s="247"/>
      <c r="AF56" s="247"/>
      <c r="AG56" s="247"/>
      <c r="AH56" s="247"/>
      <c r="AI56" s="47"/>
      <c r="AL56" s="31"/>
      <c r="AM56" s="31"/>
      <c r="AN56" s="31"/>
      <c r="AO56" s="31"/>
      <c r="AP56" s="31"/>
      <c r="AQ56" s="31"/>
      <c r="AR56" s="31"/>
      <c r="AS56" s="31"/>
      <c r="AT56" s="31"/>
      <c r="AU56" s="31"/>
      <c r="AV56" s="31"/>
      <c r="AW56" s="31"/>
      <c r="AX56" s="31"/>
    </row>
    <row r="57" spans="2:50" ht="15.6" x14ac:dyDescent="0.3">
      <c r="C57" s="46"/>
      <c r="D57" s="49"/>
      <c r="E57" s="49"/>
      <c r="F57" s="49"/>
      <c r="G57" s="49"/>
      <c r="H57" s="49"/>
      <c r="I57" s="49"/>
      <c r="J57" s="49"/>
      <c r="K57" s="49"/>
      <c r="L57" s="49"/>
      <c r="M57" s="49"/>
      <c r="N57" s="49"/>
      <c r="O57" s="49"/>
      <c r="P57" s="49"/>
      <c r="Q57" s="49"/>
      <c r="R57" s="258"/>
      <c r="S57" s="49"/>
      <c r="T57" s="49"/>
      <c r="U57" s="49"/>
      <c r="V57" s="49"/>
      <c r="W57" s="49"/>
      <c r="X57" s="49"/>
      <c r="Y57" s="49"/>
      <c r="Z57" s="49"/>
      <c r="AA57" s="49"/>
      <c r="AB57" s="49"/>
      <c r="AC57" s="49"/>
      <c r="AD57" s="49"/>
      <c r="AE57" s="49"/>
      <c r="AF57" s="49"/>
      <c r="AG57" s="49"/>
      <c r="AH57" s="49"/>
      <c r="AI57" s="47"/>
    </row>
    <row r="58" spans="2:50" ht="15.6" x14ac:dyDescent="0.3">
      <c r="C58" s="46"/>
      <c r="D58" s="375" t="s">
        <v>514</v>
      </c>
      <c r="E58" s="375"/>
      <c r="F58" s="375"/>
      <c r="G58" s="375"/>
      <c r="H58" s="375"/>
      <c r="I58" s="375"/>
      <c r="J58" s="375"/>
      <c r="K58" s="144" t="s">
        <v>2</v>
      </c>
      <c r="L58" s="144"/>
      <c r="M58" s="66"/>
      <c r="N58" s="144" t="s">
        <v>3</v>
      </c>
      <c r="O58" s="49"/>
      <c r="P58" s="49"/>
      <c r="Q58" s="49"/>
      <c r="R58" s="258"/>
      <c r="S58" s="49"/>
      <c r="T58" s="375" t="s">
        <v>503</v>
      </c>
      <c r="U58" s="375"/>
      <c r="V58" s="375"/>
      <c r="W58" s="375"/>
      <c r="X58" s="375"/>
      <c r="Y58" s="375"/>
      <c r="Z58" s="375"/>
      <c r="AA58" s="375"/>
      <c r="AB58" s="375"/>
      <c r="AC58" s="375"/>
      <c r="AD58" s="144" t="s">
        <v>2</v>
      </c>
      <c r="AE58" s="49"/>
      <c r="AF58" s="49"/>
      <c r="AG58" s="49" t="s">
        <v>3</v>
      </c>
      <c r="AH58" s="49"/>
      <c r="AI58" s="47"/>
      <c r="AL58" s="20"/>
      <c r="AS58" s="21"/>
      <c r="AU58" s="21"/>
    </row>
    <row r="59" spans="2:50" ht="15.6" x14ac:dyDescent="0.3">
      <c r="C59" s="46"/>
      <c r="D59" s="49"/>
      <c r="E59" s="49"/>
      <c r="F59" s="49"/>
      <c r="G59" s="49"/>
      <c r="H59" s="49"/>
      <c r="I59" s="49"/>
      <c r="J59" s="49"/>
      <c r="K59" s="49" t="s">
        <v>530</v>
      </c>
      <c r="L59" s="49" t="str">
        <f>IF(ISNUMBER(L60),"Post 2025 discharge","")</f>
        <v/>
      </c>
      <c r="M59" s="49" t="s">
        <v>531</v>
      </c>
      <c r="N59" s="144"/>
      <c r="O59" s="49"/>
      <c r="P59" s="49"/>
      <c r="Q59" s="49"/>
      <c r="R59" s="258"/>
      <c r="S59" s="49"/>
      <c r="T59" s="49"/>
      <c r="U59" s="49"/>
      <c r="V59" s="49"/>
      <c r="W59" s="49"/>
      <c r="X59" s="49"/>
      <c r="Y59" s="49"/>
      <c r="Z59" s="49"/>
      <c r="AA59" s="49"/>
      <c r="AB59" s="49"/>
      <c r="AC59" s="49"/>
      <c r="AD59" s="49"/>
      <c r="AE59" s="49"/>
      <c r="AF59" s="49"/>
      <c r="AG59" s="49"/>
      <c r="AH59" s="49"/>
      <c r="AI59" s="47"/>
      <c r="AL59" s="32"/>
      <c r="AS59" s="21"/>
      <c r="AU59" s="21"/>
    </row>
    <row r="60" spans="2:50" ht="31.2" x14ac:dyDescent="0.3">
      <c r="B60" s="17"/>
      <c r="C60" s="46"/>
      <c r="D60" s="375" t="s">
        <v>515</v>
      </c>
      <c r="E60" s="375"/>
      <c r="F60" s="375"/>
      <c r="G60" s="49"/>
      <c r="H60" s="49"/>
      <c r="I60" s="49"/>
      <c r="J60" s="49"/>
      <c r="K60" s="268">
        <f>IF(N40="Yes",((K52*V35)/1000000)*365.25,0)</f>
        <v>0</v>
      </c>
      <c r="L60" s="264" t="str">
        <f>IF(ISNUMBER(L52),IF(N40="Yes",((L52*V35)/1000000)*365.25,0),"")</f>
        <v/>
      </c>
      <c r="M60" s="356">
        <f>IF(N40="Yes",((M52*V35)/1000000)*365.25,0)</f>
        <v>0</v>
      </c>
      <c r="N60" s="244" t="s">
        <v>35</v>
      </c>
      <c r="O60" s="49"/>
      <c r="P60" s="49"/>
      <c r="Q60" s="49"/>
      <c r="R60" s="258"/>
      <c r="S60" s="49"/>
      <c r="T60" s="375" t="s">
        <v>486</v>
      </c>
      <c r="U60" s="375"/>
      <c r="V60" s="375"/>
      <c r="W60" s="375"/>
      <c r="X60" s="375"/>
      <c r="Y60" s="375"/>
      <c r="Z60" s="375"/>
      <c r="AA60" s="375"/>
      <c r="AB60" s="49"/>
      <c r="AC60" s="49"/>
      <c r="AD60" s="268">
        <f>IF(AD40="Yes",((IF(AE52&gt;0,AE52*V35,AD52*V35))/1000000)*365.25,0)</f>
        <v>0</v>
      </c>
      <c r="AE60" s="269"/>
      <c r="AF60" s="49"/>
      <c r="AG60" s="240" t="s">
        <v>35</v>
      </c>
      <c r="AH60" s="49"/>
      <c r="AI60" s="47"/>
      <c r="AL60" s="23"/>
      <c r="AS60" s="15"/>
      <c r="AU60" s="29"/>
    </row>
    <row r="61" spans="2:50" ht="14.1" customHeight="1" x14ac:dyDescent="0.3">
      <c r="B61" s="17"/>
      <c r="C61" s="42"/>
      <c r="D61" s="375" t="s">
        <v>516</v>
      </c>
      <c r="E61" s="375"/>
      <c r="F61" s="375"/>
      <c r="G61" s="49"/>
      <c r="H61" s="49"/>
      <c r="I61" s="49"/>
      <c r="J61" s="49"/>
      <c r="K61" s="268">
        <f>IF(N40="Yes",((K53*V35)/1000000)*365.25,0)</f>
        <v>0</v>
      </c>
      <c r="L61" s="264"/>
      <c r="M61" s="356">
        <f>IF(N40="Yes",((M53*V35)/1000000)*365.25,0)</f>
        <v>0</v>
      </c>
      <c r="N61" s="244" t="s">
        <v>35</v>
      </c>
      <c r="O61" s="49"/>
      <c r="P61" s="49"/>
      <c r="Q61" s="49"/>
      <c r="R61" s="258"/>
      <c r="S61" s="49"/>
      <c r="T61" s="375" t="s">
        <v>487</v>
      </c>
      <c r="U61" s="375"/>
      <c r="V61" s="375"/>
      <c r="W61" s="375"/>
      <c r="X61" s="375"/>
      <c r="Y61" s="375"/>
      <c r="Z61" s="375"/>
      <c r="AA61" s="375"/>
      <c r="AB61" s="49"/>
      <c r="AC61" s="49"/>
      <c r="AD61" s="268">
        <f>IF(AD40="Yes",((IF(AE53&gt;0,AE53*V35,AD53*V35))/1000000)*365.25,0)</f>
        <v>0</v>
      </c>
      <c r="AE61" s="49"/>
      <c r="AF61" s="49"/>
      <c r="AG61" s="240" t="s">
        <v>35</v>
      </c>
      <c r="AH61" s="49"/>
      <c r="AI61" s="47"/>
      <c r="AL61" s="23"/>
      <c r="AS61" s="30"/>
      <c r="AU61" s="22"/>
    </row>
    <row r="62" spans="2:50" ht="17.100000000000001" customHeight="1" x14ac:dyDescent="0.3">
      <c r="B62" s="17"/>
      <c r="C62" s="42"/>
      <c r="D62" s="49"/>
      <c r="E62" s="49"/>
      <c r="F62" s="49"/>
      <c r="G62" s="49"/>
      <c r="H62" s="49"/>
      <c r="I62" s="49"/>
      <c r="J62" s="49"/>
      <c r="K62" s="49"/>
      <c r="L62" s="49"/>
      <c r="M62" s="49"/>
      <c r="N62" s="240"/>
      <c r="O62" s="49"/>
      <c r="P62" s="49"/>
      <c r="Q62" s="49"/>
      <c r="R62" s="258"/>
      <c r="S62" s="49"/>
      <c r="T62" s="49"/>
      <c r="U62" s="49"/>
      <c r="V62" s="49"/>
      <c r="W62" s="49"/>
      <c r="X62" s="49"/>
      <c r="Y62" s="49"/>
      <c r="Z62" s="49"/>
      <c r="AA62" s="49"/>
      <c r="AB62" s="49"/>
      <c r="AC62" s="49"/>
      <c r="AD62" s="49"/>
      <c r="AE62" s="49"/>
      <c r="AF62" s="49"/>
      <c r="AG62" s="49"/>
      <c r="AH62" s="49"/>
      <c r="AI62" s="47"/>
      <c r="AU62" s="22"/>
    </row>
    <row r="63" spans="2:50" ht="16.2" thickBot="1" x14ac:dyDescent="0.35">
      <c r="B63" s="17"/>
      <c r="C63" s="50"/>
      <c r="D63" s="271"/>
      <c r="E63" s="271"/>
      <c r="F63" s="271"/>
      <c r="G63" s="271"/>
      <c r="H63" s="227"/>
      <c r="I63" s="227"/>
      <c r="J63" s="227"/>
      <c r="K63" s="227"/>
      <c r="L63" s="227"/>
      <c r="M63" s="227"/>
      <c r="N63" s="227"/>
      <c r="O63" s="227"/>
      <c r="P63" s="227"/>
      <c r="Q63" s="227"/>
      <c r="R63" s="227"/>
      <c r="S63" s="227"/>
      <c r="T63" s="227"/>
      <c r="U63" s="227"/>
      <c r="V63" s="227"/>
      <c r="W63" s="227"/>
      <c r="X63" s="227"/>
      <c r="Y63" s="227"/>
      <c r="Z63" s="227"/>
      <c r="AA63" s="271"/>
      <c r="AB63" s="271"/>
      <c r="AC63" s="271"/>
      <c r="AD63" s="271"/>
      <c r="AE63" s="271"/>
      <c r="AF63" s="271"/>
      <c r="AG63" s="271"/>
      <c r="AH63" s="271"/>
      <c r="AI63" s="52"/>
    </row>
    <row r="64" spans="2:50" ht="15.6" x14ac:dyDescent="0.3">
      <c r="C64" s="40"/>
      <c r="D64" s="229"/>
      <c r="E64" s="229"/>
      <c r="F64" s="229"/>
      <c r="G64" s="229"/>
      <c r="H64" s="233"/>
      <c r="I64" s="272"/>
      <c r="J64" s="272"/>
      <c r="K64" s="272"/>
      <c r="L64" s="272"/>
      <c r="M64" s="272"/>
      <c r="N64" s="272"/>
      <c r="O64" s="272"/>
      <c r="P64" s="272"/>
      <c r="Q64" s="272"/>
      <c r="R64" s="272"/>
      <c r="S64" s="272"/>
      <c r="T64" s="272"/>
      <c r="U64" s="272"/>
      <c r="V64" s="272"/>
      <c r="W64" s="272"/>
      <c r="X64" s="272"/>
      <c r="Y64" s="227"/>
      <c r="Z64" s="235"/>
      <c r="AA64" s="229"/>
      <c r="AB64" s="229"/>
      <c r="AC64" s="229"/>
      <c r="AD64" s="229"/>
      <c r="AE64" s="229"/>
      <c r="AF64" s="229"/>
      <c r="AG64" s="229"/>
      <c r="AH64" s="229"/>
      <c r="AI64" s="40"/>
    </row>
    <row r="65" spans="3:35" ht="15.6" x14ac:dyDescent="0.3">
      <c r="C65" s="40"/>
      <c r="D65" s="229"/>
      <c r="E65" s="229"/>
      <c r="F65" s="229"/>
      <c r="G65" s="229"/>
      <c r="H65" s="233"/>
      <c r="I65" s="227"/>
      <c r="J65" s="48" t="s">
        <v>14</v>
      </c>
      <c r="K65" s="375" t="s">
        <v>398</v>
      </c>
      <c r="L65" s="375"/>
      <c r="M65" s="375"/>
      <c r="N65" s="375"/>
      <c r="O65" s="49"/>
      <c r="P65" s="49"/>
      <c r="Q65" s="49"/>
      <c r="R65" s="49"/>
      <c r="S65" s="49"/>
      <c r="T65" s="49"/>
      <c r="U65" s="144" t="s">
        <v>2</v>
      </c>
      <c r="V65" s="49" t="str">
        <f>IF(ISNUMBER(L51),"Value","")</f>
        <v/>
      </c>
      <c r="W65" s="49"/>
      <c r="X65" s="144" t="s">
        <v>3</v>
      </c>
      <c r="Y65" s="227"/>
      <c r="Z65" s="235"/>
      <c r="AA65" s="229"/>
      <c r="AB65" s="229"/>
      <c r="AC65" s="229"/>
      <c r="AD65" s="229"/>
      <c r="AE65" s="353"/>
      <c r="AF65" s="229"/>
      <c r="AG65" s="229"/>
      <c r="AH65" s="229"/>
      <c r="AI65" s="40"/>
    </row>
    <row r="66" spans="3:35" ht="15.6" x14ac:dyDescent="0.3">
      <c r="C66" s="40"/>
      <c r="D66" s="229"/>
      <c r="E66" s="229"/>
      <c r="F66" s="229"/>
      <c r="G66" s="229"/>
      <c r="H66" s="233"/>
      <c r="I66" s="227"/>
      <c r="J66" s="49"/>
      <c r="K66" s="49"/>
      <c r="L66" s="49"/>
      <c r="M66" s="49"/>
      <c r="N66" s="49"/>
      <c r="O66" s="49"/>
      <c r="P66" s="49"/>
      <c r="Q66" s="49"/>
      <c r="R66" s="49"/>
      <c r="S66" s="49"/>
      <c r="T66" s="49"/>
      <c r="U66" s="49" t="s">
        <v>533</v>
      </c>
      <c r="V66" s="49" t="str">
        <f>IF(ISNUMBER(L52),"Post 2025","")</f>
        <v/>
      </c>
      <c r="W66" s="49" t="s">
        <v>532</v>
      </c>
      <c r="X66" s="49"/>
      <c r="Y66" s="227"/>
      <c r="Z66" s="235"/>
      <c r="AA66" s="229"/>
      <c r="AB66" s="229"/>
      <c r="AC66" s="229"/>
      <c r="AD66" s="229"/>
      <c r="AE66" s="353"/>
      <c r="AF66" s="229"/>
      <c r="AG66" s="229"/>
      <c r="AH66" s="229"/>
      <c r="AI66" s="40"/>
    </row>
    <row r="67" spans="3:35" ht="15.6" x14ac:dyDescent="0.3">
      <c r="C67" s="40"/>
      <c r="D67" s="229"/>
      <c r="E67" s="229"/>
      <c r="F67" s="229"/>
      <c r="G67" s="229"/>
      <c r="H67" s="233"/>
      <c r="I67" s="227"/>
      <c r="J67" s="49"/>
      <c r="K67" s="390" t="s">
        <v>488</v>
      </c>
      <c r="L67" s="390"/>
      <c r="M67" s="390"/>
      <c r="N67" s="390"/>
      <c r="O67" s="390"/>
      <c r="P67" s="38"/>
      <c r="Q67" s="38"/>
      <c r="R67" s="38"/>
      <c r="S67" s="38"/>
      <c r="T67" s="38"/>
      <c r="U67" s="273">
        <f>(K60+AD60)</f>
        <v>0</v>
      </c>
      <c r="V67" s="269" t="str">
        <f>IF(ISNUMBER(L52),L60+AD60,"")</f>
        <v/>
      </c>
      <c r="W67" s="357">
        <f>(M60+AD60)</f>
        <v>0</v>
      </c>
      <c r="X67" s="246" t="s">
        <v>15</v>
      </c>
      <c r="Y67" s="227"/>
      <c r="Z67" s="235"/>
      <c r="AA67" s="229"/>
      <c r="AB67" s="229"/>
      <c r="AC67" s="229"/>
      <c r="AD67" s="229"/>
      <c r="AE67" s="353"/>
      <c r="AF67" s="229"/>
      <c r="AG67" s="229"/>
      <c r="AH67" s="229"/>
      <c r="AI67" s="40"/>
    </row>
    <row r="68" spans="3:35" ht="15.6" x14ac:dyDescent="0.3">
      <c r="C68" s="40"/>
      <c r="D68" s="229"/>
      <c r="E68" s="229"/>
      <c r="F68" s="229"/>
      <c r="G68" s="229"/>
      <c r="H68" s="233"/>
      <c r="I68" s="227"/>
      <c r="J68" s="49"/>
      <c r="K68" s="49"/>
      <c r="L68" s="49"/>
      <c r="M68" s="49"/>
      <c r="N68" s="49"/>
      <c r="O68" s="49"/>
      <c r="P68" s="49"/>
      <c r="Q68" s="49"/>
      <c r="R68" s="49"/>
      <c r="S68" s="49"/>
      <c r="T68" s="49"/>
      <c r="U68" s="49"/>
      <c r="V68" s="49"/>
      <c r="W68" s="49"/>
      <c r="X68" s="246"/>
      <c r="Y68" s="227"/>
      <c r="Z68" s="235"/>
      <c r="AA68" s="229"/>
      <c r="AB68" s="229"/>
      <c r="AC68" s="229"/>
      <c r="AD68" s="229"/>
      <c r="AE68" s="229"/>
      <c r="AF68" s="229"/>
      <c r="AG68" s="229"/>
      <c r="AH68" s="229"/>
      <c r="AI68" s="40"/>
    </row>
    <row r="69" spans="3:35" ht="24" customHeight="1" x14ac:dyDescent="0.3">
      <c r="C69" s="40"/>
      <c r="D69" s="229"/>
      <c r="E69" s="229"/>
      <c r="F69" s="229"/>
      <c r="G69" s="229"/>
      <c r="H69" s="233"/>
      <c r="I69" s="227"/>
      <c r="J69" s="49"/>
      <c r="K69" s="443" t="s">
        <v>562</v>
      </c>
      <c r="L69" s="443"/>
      <c r="M69" s="443"/>
      <c r="N69" s="443"/>
      <c r="O69" s="226"/>
      <c r="P69" s="226"/>
      <c r="Q69" s="226"/>
      <c r="R69" s="226"/>
      <c r="S69" s="226"/>
      <c r="T69" s="226"/>
      <c r="U69" s="273">
        <f>(K61+AD61)</f>
        <v>0</v>
      </c>
      <c r="V69" s="269"/>
      <c r="W69" s="357">
        <f>(M61+AD61)</f>
        <v>0</v>
      </c>
      <c r="X69" s="246" t="s">
        <v>15</v>
      </c>
      <c r="Y69" s="227"/>
      <c r="Z69" s="235"/>
      <c r="AA69" s="229"/>
      <c r="AB69" s="229"/>
      <c r="AC69" s="229"/>
      <c r="AD69" s="229"/>
      <c r="AE69" s="229"/>
      <c r="AF69" s="229"/>
      <c r="AG69" s="229"/>
      <c r="AH69" s="229"/>
      <c r="AI69" s="40"/>
    </row>
    <row r="70" spans="3:35" ht="16.2" thickBot="1" x14ac:dyDescent="0.35">
      <c r="C70" s="40"/>
      <c r="D70" s="229"/>
      <c r="E70" s="229"/>
      <c r="F70" s="229"/>
      <c r="G70" s="229"/>
      <c r="H70" s="274"/>
      <c r="I70" s="271"/>
      <c r="J70" s="271"/>
      <c r="K70" s="271"/>
      <c r="L70" s="271"/>
      <c r="M70" s="271"/>
      <c r="N70" s="271"/>
      <c r="O70" s="271"/>
      <c r="P70" s="271"/>
      <c r="Q70" s="271"/>
      <c r="R70" s="271"/>
      <c r="S70" s="271"/>
      <c r="T70" s="271"/>
      <c r="U70" s="271"/>
      <c r="V70" s="271"/>
      <c r="W70" s="271"/>
      <c r="X70" s="271"/>
      <c r="Y70" s="271"/>
      <c r="Z70" s="275"/>
      <c r="AA70" s="229"/>
      <c r="AB70" s="229"/>
      <c r="AC70" s="229"/>
      <c r="AD70" s="229"/>
      <c r="AE70" s="229"/>
      <c r="AF70" s="229"/>
      <c r="AG70" s="229"/>
      <c r="AH70" s="229"/>
      <c r="AI70" s="40"/>
    </row>
    <row r="71" spans="3:35" ht="15" x14ac:dyDescent="0.25">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row>
    <row r="72" spans="3:35" ht="15" x14ac:dyDescent="0.25">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row>
  </sheetData>
  <sheetProtection algorithmName="SHA-512" hashValue="qcNQQFGGy7VVMsXRs4gQ9U61szWg8rXdErp5OE5AHet5oZGq+e+p+Vjyrq9VSbEu3aPTNa+4OJb3pEliNOBv1g==" saltValue="p7WOVVirl985yzA7Ay3NAQ==" spinCount="100000" sheet="1" selectLockedCells="1"/>
  <mergeCells count="49">
    <mergeCell ref="K69:N69"/>
    <mergeCell ref="T52:X52"/>
    <mergeCell ref="T53:X53"/>
    <mergeCell ref="T60:AA60"/>
    <mergeCell ref="AL55:AX55"/>
    <mergeCell ref="T61:AA61"/>
    <mergeCell ref="K3:X3"/>
    <mergeCell ref="I4:X6"/>
    <mergeCell ref="I36:X36"/>
    <mergeCell ref="I3:J3"/>
    <mergeCell ref="I38:X38"/>
    <mergeCell ref="K8:U8"/>
    <mergeCell ref="K15:U15"/>
    <mergeCell ref="K17:U17"/>
    <mergeCell ref="K18:U18"/>
    <mergeCell ref="K12:N12"/>
    <mergeCell ref="K19:U19"/>
    <mergeCell ref="K20:U20"/>
    <mergeCell ref="K22:U22"/>
    <mergeCell ref="K23:U23"/>
    <mergeCell ref="K24:U24"/>
    <mergeCell ref="K25:U25"/>
    <mergeCell ref="D43:Q45"/>
    <mergeCell ref="T43:AH45"/>
    <mergeCell ref="D55:Q55"/>
    <mergeCell ref="T55:AH55"/>
    <mergeCell ref="K28:U28"/>
    <mergeCell ref="V40:AC40"/>
    <mergeCell ref="E40:K41"/>
    <mergeCell ref="K35:R35"/>
    <mergeCell ref="X33:Y33"/>
    <mergeCell ref="U42:AH42"/>
    <mergeCell ref="E42:Q42"/>
    <mergeCell ref="D61:F61"/>
    <mergeCell ref="D60:F60"/>
    <mergeCell ref="K65:N65"/>
    <mergeCell ref="K67:O67"/>
    <mergeCell ref="K11:U11"/>
    <mergeCell ref="D58:J58"/>
    <mergeCell ref="T48:AC48"/>
    <mergeCell ref="T50:AB50"/>
    <mergeCell ref="D52:F52"/>
    <mergeCell ref="T51:AA51"/>
    <mergeCell ref="T58:AC58"/>
    <mergeCell ref="D48:J48"/>
    <mergeCell ref="D50:J50"/>
    <mergeCell ref="K31:N31"/>
    <mergeCell ref="K33:N33"/>
    <mergeCell ref="K14:U14"/>
  </mergeCells>
  <conditionalFormatting sqref="L52">
    <cfRule type="expression" dxfId="20" priority="3">
      <formula>AND($L$52&lt;K52)</formula>
    </cfRule>
  </conditionalFormatting>
  <conditionalFormatting sqref="L60">
    <cfRule type="expression" dxfId="19" priority="2">
      <formula>AND($L$52&lt;K52)</formula>
    </cfRule>
  </conditionalFormatting>
  <conditionalFormatting sqref="V67">
    <cfRule type="expression" dxfId="18" priority="1">
      <formula>AND($L$52&lt;K52)</formula>
    </cfRule>
  </conditionalFormatting>
  <conditionalFormatting sqref="AE52">
    <cfRule type="expression" dxfId="17" priority="5">
      <formula>AND($AD52="Please enter effluent concentration in cell to right:","1")</formula>
    </cfRule>
  </conditionalFormatting>
  <conditionalFormatting sqref="AE53">
    <cfRule type="expression" dxfId="16" priority="4">
      <formula>AND($AD52="Please enter effluent concentration in cell to right:","1")</formula>
    </cfRule>
  </conditionalFormatting>
  <dataValidations count="3">
    <dataValidation type="list" allowBlank="1" showInputMessage="1" showErrorMessage="1" sqref="K50" xr:uid="{09BC1716-7948-4F98-8E3A-277F4E17751E}">
      <formula1>Wastewater</formula1>
    </dataValidation>
    <dataValidation type="list" allowBlank="1" showInputMessage="1" showErrorMessage="1" sqref="N40 AD40" xr:uid="{0E5A7B37-1AF1-47CC-AA54-9FF5CAEB322F}">
      <formula1>"Yes, No"</formula1>
    </dataValidation>
    <dataValidation type="list" allowBlank="1" showInputMessage="1" showErrorMessage="1" sqref="AD50" xr:uid="{8F47862D-8150-4E03-A11F-32470ADB32A1}">
      <formula1>OsTWs</formula1>
    </dataValidation>
  </dataValidations>
  <pageMargins left="0.70866141732283472" right="0.70866141732283472" top="0.74803149606299213" bottom="0.74803149606299213" header="0.31496062992125984" footer="0.31496062992125984"/>
  <pageSetup paperSize="9" scale="48" orientation="landscape" horizontalDpi="360" verticalDpi="360" r:id="rId1"/>
  <headerFooter>
    <oddHeader>&amp;LPhosphate Budget Calculator&amp;CStage 1</oddHeader>
    <oddFooter>&amp;LVersion 2.2&amp;R&amp;D</oddFooter>
  </headerFooter>
  <customProperties>
    <customPr name="SSC_SHEET_GUID" r:id="rId2"/>
  </customProperties>
  <webPublishItems count="1">
    <webPublishItem id="22879" divId="Norfolk budget Calc_V1.0_22879" sourceType="sheet" destinationFile="C:\Users\305327\Documents\Environmental Services proposals\Norfolk Nutrients Opportunity\Calculator\Norfolk budget Calc_V1.0 Items.htm" title="Norfolk Nutrient Calculator - items"/>
  </webPublishItem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EF00-914D-4ADC-8F23-A385C2D4A9E5}">
  <sheetPr>
    <tabColor rgb="FFD6F4FE"/>
    <pageSetUpPr fitToPage="1"/>
  </sheetPr>
  <dimension ref="A1:BC50"/>
  <sheetViews>
    <sheetView zoomScaleNormal="100" workbookViewId="0">
      <selection activeCell="K12" sqref="K12"/>
    </sheetView>
  </sheetViews>
  <sheetFormatPr defaultRowHeight="13.2" x14ac:dyDescent="0.25"/>
  <cols>
    <col min="2" max="3" width="0.77734375" customWidth="1"/>
    <col min="4" max="4" width="2.21875" customWidth="1"/>
    <col min="9" max="9" width="12.21875" customWidth="1"/>
    <col min="10" max="10" width="8.44140625" customWidth="1"/>
    <col min="11" max="11" width="19.5546875" customWidth="1"/>
    <col min="12" max="12" width="11.21875" customWidth="1"/>
    <col min="13" max="13" width="3" customWidth="1"/>
    <col min="14" max="14" width="1.77734375" customWidth="1"/>
    <col min="15" max="15" width="8.44140625" customWidth="1"/>
    <col min="16" max="16" width="1.77734375" customWidth="1"/>
    <col min="17" max="17" width="9" customWidth="1"/>
    <col min="18" max="18" width="3.21875" customWidth="1"/>
    <col min="19" max="19" width="6.21875" customWidth="1"/>
    <col min="20" max="20" width="0.77734375" customWidth="1"/>
    <col min="22" max="22" width="16.77734375" customWidth="1"/>
    <col min="23" max="23" width="12.5546875" customWidth="1"/>
    <col min="28" max="28" width="11.21875" customWidth="1"/>
    <col min="29" max="29" width="12.21875" customWidth="1"/>
  </cols>
  <sheetData>
    <row r="1" spans="1:20" ht="14.4" thickBot="1" x14ac:dyDescent="0.35">
      <c r="A1" s="40" t="s">
        <v>16</v>
      </c>
    </row>
    <row r="2" spans="1:20" ht="3.6" customHeight="1" x14ac:dyDescent="0.25">
      <c r="B2" s="1"/>
      <c r="C2" s="2"/>
      <c r="D2" s="2"/>
      <c r="E2" s="2"/>
      <c r="F2" s="2"/>
      <c r="G2" s="2"/>
      <c r="H2" s="2"/>
      <c r="I2" s="2"/>
      <c r="J2" s="2"/>
      <c r="K2" s="2"/>
      <c r="L2" s="2"/>
      <c r="M2" s="2"/>
      <c r="N2" s="2"/>
      <c r="O2" s="2"/>
      <c r="P2" s="2"/>
      <c r="Q2" s="2"/>
      <c r="R2" s="2"/>
      <c r="S2" s="2"/>
      <c r="T2" s="3"/>
    </row>
    <row r="3" spans="1:20" ht="28.5" customHeight="1" x14ac:dyDescent="0.3">
      <c r="B3" s="4"/>
      <c r="C3" s="40"/>
      <c r="D3" s="278"/>
      <c r="E3" s="197" t="s">
        <v>16</v>
      </c>
      <c r="F3" s="441" t="s">
        <v>495</v>
      </c>
      <c r="G3" s="441"/>
      <c r="H3" s="441"/>
      <c r="I3" s="441"/>
      <c r="J3" s="441"/>
      <c r="K3" s="441"/>
      <c r="L3" s="441"/>
      <c r="M3" s="441"/>
      <c r="N3" s="234"/>
      <c r="O3" s="234"/>
      <c r="P3" s="234"/>
      <c r="Q3" s="234"/>
      <c r="R3" s="234"/>
      <c r="S3" s="234"/>
      <c r="T3" s="6"/>
    </row>
    <row r="4" spans="1:20" ht="1.5" customHeight="1" x14ac:dyDescent="0.3">
      <c r="B4" s="4"/>
      <c r="C4" s="54"/>
      <c r="D4" s="279"/>
      <c r="E4" s="436" t="s">
        <v>66</v>
      </c>
      <c r="F4" s="436"/>
      <c r="G4" s="436"/>
      <c r="H4" s="436"/>
      <c r="I4" s="436"/>
      <c r="J4" s="436"/>
      <c r="K4" s="436"/>
      <c r="L4" s="436"/>
      <c r="M4" s="436"/>
      <c r="N4" s="436"/>
      <c r="O4" s="436"/>
      <c r="P4" s="436"/>
      <c r="Q4" s="436"/>
      <c r="R4" s="436"/>
      <c r="S4" s="436"/>
      <c r="T4" s="6"/>
    </row>
    <row r="5" spans="1:20" ht="15.6" x14ac:dyDescent="0.3">
      <c r="B5" s="4"/>
      <c r="C5" s="54"/>
      <c r="D5" s="279"/>
      <c r="E5" s="436"/>
      <c r="F5" s="436"/>
      <c r="G5" s="436"/>
      <c r="H5" s="436"/>
      <c r="I5" s="436"/>
      <c r="J5" s="436"/>
      <c r="K5" s="436"/>
      <c r="L5" s="436"/>
      <c r="M5" s="436"/>
      <c r="N5" s="436"/>
      <c r="O5" s="436"/>
      <c r="P5" s="436"/>
      <c r="Q5" s="436"/>
      <c r="R5" s="436"/>
      <c r="S5" s="436"/>
      <c r="T5" s="6"/>
    </row>
    <row r="6" spans="1:20" ht="23.55" customHeight="1" x14ac:dyDescent="0.3">
      <c r="B6" s="4"/>
      <c r="C6" s="42"/>
      <c r="D6" s="227"/>
      <c r="E6" s="442"/>
      <c r="F6" s="442"/>
      <c r="G6" s="442"/>
      <c r="H6" s="442"/>
      <c r="I6" s="442"/>
      <c r="J6" s="442"/>
      <c r="K6" s="442"/>
      <c r="L6" s="442"/>
      <c r="M6" s="442"/>
      <c r="N6" s="442"/>
      <c r="O6" s="442"/>
      <c r="P6" s="442"/>
      <c r="Q6" s="442"/>
      <c r="R6" s="442"/>
      <c r="S6" s="442"/>
      <c r="T6" s="6"/>
    </row>
    <row r="7" spans="1:20" ht="4.05" customHeight="1" x14ac:dyDescent="0.3">
      <c r="B7" s="4"/>
      <c r="C7" s="42"/>
      <c r="D7" s="272"/>
      <c r="E7" s="280"/>
      <c r="F7" s="280"/>
      <c r="G7" s="280"/>
      <c r="H7" s="280"/>
      <c r="I7" s="280"/>
      <c r="J7" s="280"/>
      <c r="K7" s="280"/>
      <c r="L7" s="280"/>
      <c r="M7" s="280"/>
      <c r="N7" s="237"/>
      <c r="O7" s="237"/>
      <c r="P7" s="237"/>
      <c r="Q7" s="237"/>
      <c r="R7" s="237"/>
      <c r="S7" s="237"/>
      <c r="T7" s="6"/>
    </row>
    <row r="8" spans="1:20" ht="15.6" x14ac:dyDescent="0.3">
      <c r="B8" s="4"/>
      <c r="C8" s="42"/>
      <c r="D8" s="227"/>
      <c r="E8" s="48" t="s">
        <v>5</v>
      </c>
      <c r="F8" s="375" t="s">
        <v>18</v>
      </c>
      <c r="G8" s="375"/>
      <c r="H8" s="375"/>
      <c r="I8" s="375"/>
      <c r="J8" s="375"/>
      <c r="K8" s="144" t="s">
        <v>2</v>
      </c>
      <c r="L8" s="144" t="s">
        <v>3</v>
      </c>
      <c r="M8" s="49"/>
      <c r="N8" s="49"/>
      <c r="O8" s="49"/>
      <c r="P8" s="49"/>
      <c r="Q8" s="49"/>
      <c r="R8" s="49"/>
      <c r="S8" s="49"/>
      <c r="T8" s="6"/>
    </row>
    <row r="9" spans="1:20" ht="9.6" customHeight="1" x14ac:dyDescent="0.3">
      <c r="B9" s="4"/>
      <c r="C9" s="42"/>
      <c r="D9" s="227"/>
      <c r="E9" s="48"/>
      <c r="F9" s="142"/>
      <c r="G9" s="142"/>
      <c r="H9" s="142"/>
      <c r="I9" s="142"/>
      <c r="J9" s="142"/>
      <c r="K9" s="144"/>
      <c r="L9" s="144"/>
      <c r="M9" s="49"/>
      <c r="N9" s="49"/>
      <c r="O9" s="49"/>
      <c r="P9" s="49"/>
      <c r="Q9" s="49"/>
      <c r="R9" s="49"/>
      <c r="S9" s="49"/>
      <c r="T9" s="6"/>
    </row>
    <row r="10" spans="1:20" ht="32.549999999999997" customHeight="1" x14ac:dyDescent="0.3">
      <c r="B10" s="4"/>
      <c r="C10" s="42"/>
      <c r="D10" s="451" t="s">
        <v>578</v>
      </c>
      <c r="E10" s="451"/>
      <c r="F10" s="451"/>
      <c r="G10" s="451"/>
      <c r="H10" s="451"/>
      <c r="I10" s="451"/>
      <c r="J10" s="451"/>
      <c r="K10" s="451"/>
      <c r="L10" s="451"/>
      <c r="M10" s="451"/>
      <c r="N10" s="451"/>
      <c r="O10" s="451"/>
      <c r="P10" s="451"/>
      <c r="Q10" s="451"/>
      <c r="R10" s="451"/>
      <c r="S10" s="451"/>
      <c r="T10" s="6"/>
    </row>
    <row r="11" spans="1:20" ht="9.6" customHeight="1" x14ac:dyDescent="0.3">
      <c r="B11" s="4"/>
      <c r="C11" s="42"/>
      <c r="D11" s="227"/>
      <c r="E11" s="48"/>
      <c r="F11" s="142"/>
      <c r="G11" s="142"/>
      <c r="H11" s="142"/>
      <c r="I11" s="142"/>
      <c r="J11" s="142"/>
      <c r="K11" s="144"/>
      <c r="L11" s="144"/>
      <c r="M11" s="49"/>
      <c r="N11" s="49"/>
      <c r="O11" s="49"/>
      <c r="P11" s="49"/>
      <c r="Q11" s="49"/>
      <c r="R11" s="49"/>
      <c r="S11" s="49"/>
      <c r="T11" s="6"/>
    </row>
    <row r="12" spans="1:20" ht="15" customHeight="1" x14ac:dyDescent="0.3">
      <c r="B12" s="4"/>
      <c r="C12" s="42"/>
      <c r="D12" s="227"/>
      <c r="E12" s="48"/>
      <c r="F12" s="375" t="s">
        <v>373</v>
      </c>
      <c r="G12" s="375"/>
      <c r="H12" s="375"/>
      <c r="I12" s="375"/>
      <c r="J12" s="375"/>
      <c r="K12" s="238" t="s">
        <v>378</v>
      </c>
      <c r="L12" s="144"/>
      <c r="M12" s="49"/>
      <c r="N12" s="49"/>
      <c r="O12" s="49"/>
      <c r="P12" s="49"/>
      <c r="Q12" s="49"/>
      <c r="R12" s="49"/>
      <c r="S12" s="49"/>
      <c r="T12" s="6"/>
    </row>
    <row r="13" spans="1:20" ht="15.6" x14ac:dyDescent="0.3">
      <c r="B13" s="4"/>
      <c r="C13" s="42"/>
      <c r="D13" s="227"/>
      <c r="E13" s="48"/>
      <c r="F13" s="375" t="s">
        <v>372</v>
      </c>
      <c r="G13" s="375"/>
      <c r="H13" s="375"/>
      <c r="I13" s="375"/>
      <c r="J13" s="375"/>
      <c r="K13" s="257" t="s">
        <v>377</v>
      </c>
      <c r="L13" s="144"/>
      <c r="M13" s="49"/>
      <c r="N13" s="49"/>
      <c r="O13" s="49"/>
      <c r="P13" s="49"/>
      <c r="Q13" s="49"/>
      <c r="R13" s="49"/>
      <c r="S13" s="49"/>
      <c r="T13" s="6"/>
    </row>
    <row r="14" spans="1:20" ht="15.6" x14ac:dyDescent="0.3">
      <c r="B14" s="4"/>
      <c r="C14" s="42"/>
      <c r="D14" s="227"/>
      <c r="E14" s="48"/>
      <c r="F14" s="375" t="s">
        <v>376</v>
      </c>
      <c r="G14" s="375"/>
      <c r="H14" s="375"/>
      <c r="I14" s="375"/>
      <c r="J14" s="375"/>
      <c r="K14" s="238" t="s">
        <v>468</v>
      </c>
      <c r="L14" s="144" t="s">
        <v>375</v>
      </c>
      <c r="M14" s="49"/>
      <c r="N14" s="49"/>
      <c r="O14" s="49"/>
      <c r="P14" s="49"/>
      <c r="Q14" s="49"/>
      <c r="R14" s="49"/>
      <c r="S14" s="49"/>
      <c r="T14" s="6"/>
    </row>
    <row r="15" spans="1:20" ht="15.6" x14ac:dyDescent="0.3">
      <c r="B15" s="4"/>
      <c r="C15" s="42"/>
      <c r="D15" s="227"/>
      <c r="E15" s="48"/>
      <c r="F15" s="375" t="s">
        <v>374</v>
      </c>
      <c r="G15" s="375"/>
      <c r="H15" s="375"/>
      <c r="I15" s="375"/>
      <c r="J15" s="375"/>
      <c r="K15" s="238" t="s">
        <v>13</v>
      </c>
      <c r="L15" s="144"/>
      <c r="M15" s="49"/>
      <c r="N15" s="49"/>
      <c r="O15" s="49"/>
      <c r="P15" s="49"/>
      <c r="Q15" s="49"/>
      <c r="R15" s="49"/>
      <c r="S15" s="49"/>
      <c r="T15" s="6"/>
    </row>
    <row r="16" spans="1:20" ht="6.6" customHeight="1" x14ac:dyDescent="0.3">
      <c r="B16" s="4"/>
      <c r="C16" s="42"/>
      <c r="D16" s="227"/>
      <c r="E16" s="48"/>
      <c r="F16" s="49"/>
      <c r="G16" s="49"/>
      <c r="H16" s="49"/>
      <c r="I16" s="49"/>
      <c r="J16" s="49"/>
      <c r="K16" s="144"/>
      <c r="L16" s="144"/>
      <c r="M16" s="49"/>
      <c r="N16" s="49"/>
      <c r="O16" s="49"/>
      <c r="P16" s="49"/>
      <c r="Q16" s="49"/>
      <c r="R16" s="49"/>
      <c r="S16" s="49"/>
      <c r="T16" s="6"/>
    </row>
    <row r="17" spans="2:55" ht="16.05" customHeight="1" x14ac:dyDescent="0.3">
      <c r="B17" s="4"/>
      <c r="C17" s="42"/>
      <c r="D17" s="227"/>
      <c r="E17" s="448" t="s">
        <v>567</v>
      </c>
      <c r="F17" s="448"/>
      <c r="G17" s="448"/>
      <c r="H17" s="448"/>
      <c r="I17" s="448"/>
      <c r="J17" s="448"/>
      <c r="K17" s="448"/>
      <c r="L17" s="448"/>
      <c r="M17" s="448"/>
      <c r="N17" s="448"/>
      <c r="O17" s="448"/>
      <c r="P17" s="448"/>
      <c r="Q17" s="448"/>
      <c r="R17" s="448"/>
      <c r="S17" s="448"/>
      <c r="T17" s="6"/>
    </row>
    <row r="18" spans="2:55" ht="18.600000000000001" customHeight="1" x14ac:dyDescent="0.3">
      <c r="B18" s="4"/>
      <c r="C18" s="42"/>
      <c r="D18" s="227"/>
      <c r="E18" s="447" t="s">
        <v>568</v>
      </c>
      <c r="F18" s="447"/>
      <c r="G18" s="447"/>
      <c r="H18" s="447"/>
      <c r="I18" s="447"/>
      <c r="J18" s="447"/>
      <c r="K18" s="447"/>
      <c r="L18" s="447"/>
      <c r="M18" s="447"/>
      <c r="N18" s="447"/>
      <c r="O18" s="447"/>
      <c r="P18" s="447"/>
      <c r="Q18" s="447"/>
      <c r="R18" s="447"/>
      <c r="S18" s="447"/>
      <c r="T18" s="6"/>
    </row>
    <row r="19" spans="2:55" ht="18.600000000000001" customHeight="1" x14ac:dyDescent="0.3">
      <c r="B19" s="4"/>
      <c r="C19" s="42"/>
      <c r="D19" s="227"/>
      <c r="E19" s="447" t="s">
        <v>499</v>
      </c>
      <c r="F19" s="447"/>
      <c r="G19" s="447"/>
      <c r="H19" s="447"/>
      <c r="I19" s="447"/>
      <c r="J19" s="447"/>
      <c r="K19" s="447"/>
      <c r="L19" s="447"/>
      <c r="M19" s="447"/>
      <c r="N19" s="447"/>
      <c r="O19" s="447"/>
      <c r="P19" s="447"/>
      <c r="Q19" s="447"/>
      <c r="R19" s="447"/>
      <c r="S19" s="447"/>
      <c r="T19" s="6"/>
    </row>
    <row r="20" spans="2:55" ht="19.05" customHeight="1" x14ac:dyDescent="0.3">
      <c r="B20" s="4"/>
      <c r="C20" s="42"/>
      <c r="D20" s="227"/>
      <c r="E20" s="447" t="s">
        <v>579</v>
      </c>
      <c r="F20" s="447"/>
      <c r="G20" s="447"/>
      <c r="H20" s="447"/>
      <c r="I20" s="447"/>
      <c r="J20" s="447"/>
      <c r="K20" s="447"/>
      <c r="L20" s="447"/>
      <c r="M20" s="447"/>
      <c r="N20" s="447"/>
      <c r="O20" s="447"/>
      <c r="P20" s="447"/>
      <c r="Q20" s="447"/>
      <c r="R20" s="447"/>
      <c r="S20" s="447"/>
      <c r="T20" s="6"/>
    </row>
    <row r="21" spans="2:55" ht="41.1" customHeight="1" x14ac:dyDescent="0.3">
      <c r="B21" s="4"/>
      <c r="C21" s="42"/>
      <c r="D21" s="227"/>
      <c r="E21" s="48" t="s">
        <v>8</v>
      </c>
      <c r="F21" s="49" t="s">
        <v>580</v>
      </c>
      <c r="G21" s="49"/>
      <c r="H21" s="49"/>
      <c r="I21" s="49"/>
      <c r="J21" s="49"/>
      <c r="K21" s="144"/>
      <c r="L21" s="144"/>
      <c r="M21" s="49"/>
      <c r="N21" s="49"/>
      <c r="O21" s="281" t="s">
        <v>389</v>
      </c>
      <c r="P21" s="281"/>
      <c r="Q21" s="281" t="s">
        <v>390</v>
      </c>
      <c r="R21" s="49"/>
      <c r="S21" s="49"/>
      <c r="T21" s="6"/>
    </row>
    <row r="22" spans="2:55" ht="14.55" customHeight="1" x14ac:dyDescent="0.3">
      <c r="B22" s="4"/>
      <c r="C22" s="42"/>
      <c r="D22" s="227"/>
      <c r="E22" s="49"/>
      <c r="F22" s="375" t="str">
        <f>'Data Tables'!AC37</f>
        <v>High density residential</v>
      </c>
      <c r="G22" s="375"/>
      <c r="H22" s="375"/>
      <c r="I22" s="375"/>
      <c r="J22" s="375"/>
      <c r="K22" s="282"/>
      <c r="L22" s="240" t="s">
        <v>17</v>
      </c>
      <c r="M22" s="49"/>
      <c r="N22" s="49"/>
      <c r="O22" s="283">
        <f>$K22*IF($K$14="550-575",'Data Tables'!AC39,IF($K$14="575-600",'Data Tables'!AC40,IF($K$14="600-625",'Data Tables'!AC41,IF($K$14="625-650",'Data Tables'!AC42,IF($K$14="650-675",'Data Tables'!AC43,IF($K$14="675-700",'Data Tables'!AC44,IF($K$14="700-750",'Data Tables'!AC45,IF($K$14="750-800",'Data Tables'!AC46,IF($K$14="800-850",'Data Tables'!AC47,'Data Tables'!AC48)))))))))</f>
        <v>0</v>
      </c>
      <c r="P22" s="284"/>
      <c r="Q22" s="285">
        <f>$K22*IF($K$14="550-575",'Data Tables'!AD39,IF($K$14="575-600",'Data Tables'!AD40,IF($K$14="600-625",'Data Tables'!AD41,IF($K$14="625-650",'Data Tables'!AD42,IF($K$14="650-675",'Data Tables'!AD43,IF($K$14="675-700",'Data Tables'!AD44,IF($K$14="700-750",'Data Tables'!AD45,IF($K$14="750-800",'Data Tables'!AD46,IF($K$14="800-850",'Data Tables'!AD47,'Data Tables'!AD48)))))))))</f>
        <v>0</v>
      </c>
      <c r="R22" s="286"/>
      <c r="S22" s="49" t="s">
        <v>391</v>
      </c>
      <c r="T22" s="6"/>
      <c r="W22" s="74"/>
      <c r="X22" s="74"/>
      <c r="Y22" s="74"/>
      <c r="Z22" s="74"/>
      <c r="AA22" s="74"/>
      <c r="AB22" s="74"/>
      <c r="AC22" s="449"/>
      <c r="AD22" s="449"/>
      <c r="AE22" s="449"/>
      <c r="AF22" s="449"/>
      <c r="AG22" s="449"/>
      <c r="AH22" s="449"/>
    </row>
    <row r="23" spans="2:55" ht="14.55" customHeight="1" x14ac:dyDescent="0.3">
      <c r="B23" s="4"/>
      <c r="C23" s="42"/>
      <c r="D23" s="227"/>
      <c r="E23" s="49"/>
      <c r="F23" s="375" t="str">
        <f>'Data Tables'!AE37</f>
        <v>Medium density residential</v>
      </c>
      <c r="G23" s="375"/>
      <c r="H23" s="375"/>
      <c r="I23" s="375"/>
      <c r="J23" s="375"/>
      <c r="K23" s="282"/>
      <c r="L23" s="240" t="s">
        <v>17</v>
      </c>
      <c r="M23" s="49"/>
      <c r="N23" s="49"/>
      <c r="O23" s="283">
        <f>$K23*IF($K$14="550-575",'Data Tables'!AE39,IF($K$14="575-600",'Data Tables'!AE40,IF($K$14="600-625",'Data Tables'!AE41,IF($K$14="625-650",'Data Tables'!AE42,IF($K$14="650-675",'Data Tables'!AE43,IF($K$14="675-700",'Data Tables'!AE44,IF($K$14="700-750",'Data Tables'!AE45,IF($K$14="750-800",'Data Tables'!AE46,IF($K$14="800-850",'Data Tables'!AE47,'Data Tables'!AE48)))))))))</f>
        <v>0</v>
      </c>
      <c r="P23" s="284"/>
      <c r="Q23" s="285">
        <f>$K23*IF($K$14="550-575",'Data Tables'!AF39,IF($K$14="575-600",'Data Tables'!AF40,IF($K$14="600-625",'Data Tables'!AF41,IF($K$14="625-650",'Data Tables'!AF42,IF($K$14="650-675",'Data Tables'!AF43,IF($K$14="675-700",'Data Tables'!AF44,IF($K$14="700-750",'Data Tables'!AF45,IF($K$14="750-800",'Data Tables'!AF46,IF($K$14="800-850",'Data Tables'!AF47,'Data Tables'!AF48)))))))))</f>
        <v>0</v>
      </c>
      <c r="R23" s="286"/>
      <c r="S23" s="49" t="s">
        <v>391</v>
      </c>
      <c r="T23" s="6"/>
      <c r="W23" s="73"/>
      <c r="X23" s="73"/>
      <c r="Y23" s="73"/>
      <c r="Z23" s="73"/>
      <c r="AA23" s="73"/>
      <c r="AB23" s="73"/>
      <c r="AC23" s="450"/>
      <c r="AD23" s="450"/>
      <c r="AE23" s="450"/>
      <c r="AF23" s="450"/>
      <c r="AG23" s="450"/>
      <c r="AH23" s="450"/>
    </row>
    <row r="24" spans="2:55" ht="14.55" customHeight="1" x14ac:dyDescent="0.3">
      <c r="B24" s="4"/>
      <c r="C24" s="42"/>
      <c r="D24" s="227"/>
      <c r="E24" s="49"/>
      <c r="F24" s="375" t="str">
        <f>'Data Tables'!AG37</f>
        <v>Low density residential</v>
      </c>
      <c r="G24" s="375"/>
      <c r="H24" s="375"/>
      <c r="I24" s="375"/>
      <c r="J24" s="375"/>
      <c r="K24" s="282"/>
      <c r="L24" s="240" t="s">
        <v>17</v>
      </c>
      <c r="M24" s="49"/>
      <c r="N24" s="49"/>
      <c r="O24" s="283">
        <f>$K24*IF($K$14="550-575",'Data Tables'!AG39,IF($K$14="575-600",'Data Tables'!AG40,IF($K$14="600-625",'Data Tables'!AG41,IF($K$14="625-650",'Data Tables'!AG42,IF($K$14="650-675",'Data Tables'!AG43,IF($K$14="675-700",'Data Tables'!AG44,IF($K$14="700-750",'Data Tables'!AG45,IF($K$14="750-800",'Data Tables'!AG46,IF($K$14="800-850",'Data Tables'!AG47,'Data Tables'!AG48)))))))))</f>
        <v>0</v>
      </c>
      <c r="P24" s="284"/>
      <c r="Q24" s="285">
        <f>$K24*IF($K$14="550-575",'Data Tables'!AH39,IF($K$14="575-600",'Data Tables'!AH40,IF($K$14="600-625",'Data Tables'!AH41,IF($K$14="625-650",'Data Tables'!AH42,IF($K$14="650-675",'Data Tables'!AH43,IF($K$14="675-700",'Data Tables'!AH44,IF($K$14="700-750",'Data Tables'!AH45,IF($K$14="750-800",'Data Tables'!AH46,IF($K$14="800-850",'Data Tables'!AH47,'Data Tables'!AH48)))))))))</f>
        <v>0</v>
      </c>
      <c r="R24" s="286"/>
      <c r="S24" s="49" t="s">
        <v>391</v>
      </c>
      <c r="T24" s="6"/>
      <c r="W24" s="13"/>
      <c r="X24" s="13"/>
      <c r="Y24" s="13"/>
      <c r="Z24" s="13"/>
      <c r="AA24" s="13"/>
      <c r="AB24" s="13"/>
      <c r="AC24" s="13"/>
      <c r="AD24" s="13"/>
      <c r="AE24" s="13"/>
      <c r="AF24" s="13"/>
      <c r="AG24" s="13"/>
      <c r="AH24" s="13"/>
    </row>
    <row r="25" spans="2:55" ht="14.55" customHeight="1" x14ac:dyDescent="0.3">
      <c r="B25" s="4"/>
      <c r="C25" s="42"/>
      <c r="D25" s="227"/>
      <c r="E25" s="49"/>
      <c r="F25" s="375" t="str">
        <f>'Data Tables'!AI37</f>
        <v>Commercial / Industrial</v>
      </c>
      <c r="G25" s="375"/>
      <c r="H25" s="375"/>
      <c r="I25" s="375"/>
      <c r="J25" s="375"/>
      <c r="K25" s="282"/>
      <c r="L25" s="240" t="s">
        <v>17</v>
      </c>
      <c r="M25" s="49"/>
      <c r="N25" s="49"/>
      <c r="O25" s="283">
        <f>$K25*IF($K$14="550-575",'Data Tables'!AI39,IF($K$14="575-600",'Data Tables'!AI40,IF($K$14="600-625",'Data Tables'!AI41,IF($K$14="625-650",'Data Tables'!AI42,IF($K$14="650-675",'Data Tables'!AI43,IF($K$14="675-700",'Data Tables'!AI44,IF($K$14="700-750",'Data Tables'!AI45,IF($K$14="750-800",'Data Tables'!AI46,IF($K$14="800-850",'Data Tables'!AI47,'Data Tables'!AI48)))))))))</f>
        <v>0</v>
      </c>
      <c r="P25" s="284"/>
      <c r="Q25" s="285">
        <f>$K25*IF($K$14="550-575",'Data Tables'!AJ39,IF($K$14="575-600",'Data Tables'!AJ40,IF($K$14="600-625",'Data Tables'!AJ41,IF($K$14="625-650",'Data Tables'!AJ42,IF($K$14="650-675",'Data Tables'!AJ43,IF($K$14="675-700",'Data Tables'!AJ44,IF($K$14="700-750",'Data Tables'!AJ45,IF($K$14="750-800",'Data Tables'!AJ46,IF($K$14="800-850",'Data Tables'!AJ47,'Data Tables'!AJ48)))))))))</f>
        <v>0</v>
      </c>
      <c r="R25" s="286"/>
      <c r="S25" s="49" t="s">
        <v>391</v>
      </c>
      <c r="T25" s="6"/>
      <c r="W25" s="13"/>
      <c r="X25" s="13"/>
      <c r="Y25" s="13"/>
      <c r="Z25" s="13"/>
      <c r="AA25" s="13"/>
      <c r="AB25" s="13"/>
      <c r="AC25" s="13"/>
      <c r="AD25" s="13"/>
      <c r="AE25" s="13"/>
      <c r="AF25" s="13"/>
      <c r="AG25" s="13"/>
      <c r="AH25" s="13"/>
    </row>
    <row r="26" spans="2:55" ht="14.55" customHeight="1" x14ac:dyDescent="0.3">
      <c r="B26" s="4"/>
      <c r="C26" s="42"/>
      <c r="D26" s="227"/>
      <c r="E26" s="49"/>
      <c r="F26" s="375" t="str">
        <f>'Data Tables'!AK37</f>
        <v>Urban open space</v>
      </c>
      <c r="G26" s="375"/>
      <c r="H26" s="375"/>
      <c r="I26" s="375"/>
      <c r="J26" s="375"/>
      <c r="K26" s="282"/>
      <c r="L26" s="240" t="s">
        <v>17</v>
      </c>
      <c r="M26" s="49"/>
      <c r="N26" s="49"/>
      <c r="O26" s="283">
        <f>$K26*IF($K$14="550-575",'Data Tables'!AK39,IF($K$14="575-600",'Data Tables'!AK40,IF($K$14="600-625",'Data Tables'!AK41,IF($K$14="625-650",'Data Tables'!AK42,IF($K$14="650-675",'Data Tables'!AK43,IF($K$14="675-700",'Data Tables'!AK44,IF($K$14="700-750",'Data Tables'!AK45,IF($K$14="750-800",'Data Tables'!AK46,IF($K$14="800-850",'Data Tables'!AK47,'Data Tables'!AK48)))))))))</f>
        <v>0</v>
      </c>
      <c r="P26" s="284"/>
      <c r="Q26" s="285">
        <f>$K26*IF($K$14="550-575",'Data Tables'!AL39,IF($K$14="575-600",'Data Tables'!AL40,IF($K$14="600-625",'Data Tables'!AL41,IF($K$14="625-650",'Data Tables'!AL42,IF($K$14="650-675",'Data Tables'!AL43,IF($K$14="675-700",'Data Tables'!AL44,IF($K$14="700-750",'Data Tables'!AL45,IF($K$14="750-800",'Data Tables'!AL46,IF($K$14="800-850",'Data Tables'!AL47,'Data Tables'!AL48)))))))))</f>
        <v>0</v>
      </c>
      <c r="R26" s="286"/>
      <c r="S26" s="49" t="s">
        <v>391</v>
      </c>
      <c r="T26" s="6"/>
      <c r="W26" s="13"/>
      <c r="X26" s="13"/>
      <c r="Y26" s="13"/>
      <c r="Z26" s="13"/>
      <c r="AA26" s="13"/>
      <c r="AB26" s="13"/>
      <c r="AC26" s="13"/>
      <c r="AD26" s="13"/>
      <c r="AE26" s="13"/>
      <c r="AF26" s="13"/>
      <c r="AG26" s="13"/>
      <c r="AH26" s="13"/>
    </row>
    <row r="27" spans="2:55" ht="14.55" customHeight="1" x14ac:dyDescent="0.3">
      <c r="B27" s="4"/>
      <c r="C27" s="42"/>
      <c r="D27" s="227"/>
      <c r="E27" s="49"/>
      <c r="F27" s="375" t="s">
        <v>23</v>
      </c>
      <c r="G27" s="375"/>
      <c r="H27" s="375"/>
      <c r="I27" s="375"/>
      <c r="J27" s="375"/>
      <c r="K27" s="282"/>
      <c r="L27" s="240" t="s">
        <v>17</v>
      </c>
      <c r="M27" s="49"/>
      <c r="N27" s="49"/>
      <c r="O27" s="287">
        <f>IF($K$12="Wensum",($K27*(IF($K$13="Freely draining",IF($K$14="550-575",IF($K$15="Yes",'Data Tables'!S5,'Data Tables'!T5),IF($K$14="575-600",IF($K$15="Yes",'Data Tables'!S5,'Data Tables'!T5),IF($K$14="600-625",IF($K$15="Yes",'Data Tables'!Y5,'Data Tables'!Z5),IF($K$14="625-650",IF($K$15="Yes",'Data Tables'!Y5,'Data Tables'!Z5),IF($K$14="650-675",IF($K$15="Yes",'Data Tables'!Y5,'Data Tables'!Z5),IF($K$14="675-700",IF($K$15="Yes",'Data Tables'!Y5,'Data Tables'!Z5),IF($K$14="700-750",IF($K$15="Yes",'Data Tables'!AE5,'Data Tables'!AF5),IF($K$14="750-800",IF($K$15="Yes",'Data Tables'!AE5,'Data Tables'!AF5),IF($K$14="800-850",IF($K$15="Yes",'Data Tables'!AE5,'Data Tables'!AF5),IF($K$15="Yes",'Data Tables'!Y5,'Data Tables'!Z5)))))))))),IF($K$13="Impermeable - drained for arable",IF($K$14="550-575",IF($K$15="Yes",'Data Tables'!U5,'Data Tables'!V5),IF($K$14="575-600",IF($K$15="Yes",'Data Tables'!U5,'Data Tables'!V5),IF($K$14="600-625",IF($K$15="Yes",'Data Tables'!AA5,'Data Tables'!AB5),IF($K$14="625-650",IF($K$15="Yes",'Data Tables'!AA5,'Data Tables'!AB5),IF($K$14="650-675",IF($K$15="Yes",'Data Tables'!AA5,'Data Tables'!AB5),IF($K$14="675-700",IF($K$15="Yes",'Data Tables'!AA5,'Data Tables'!AB5),IF($K$14="700-750",IF($K$15="Yes",'Data Tables'!AG5,'Data Tables'!AH5),IF($K$14="750-800",IF($K$15="Yes",'Data Tables'!AG5,'Data Tables'!AH5),IF($K$14="800-850",IF($K$15="Yes",'Data Tables'!AG5,'Data Tables'!AH5),IF($K$15="Yes",'Data Tables'!AG5,'Data Tables'!AH5)))))))))),IF($K$14="550-575",IF($K$15="Yes",'Data Tables'!W5,'Data Tables'!X5),IF($K$14="575-600",IF($K$15="Yes",'Data Tables'!W5,'Data Tables'!X5),IF($K$14="600-625",IF($K$15="Yes",'Data Tables'!AC5,'Data Tables'!AD5),IF($K$14="625-650",IF($K$15="Yes",'Data Tables'!AC5,'Data Tables'!AD5),IF($K$14="650-675",IF($K$15="Yes",'Data Tables'!AC5,'Data Tables'!AD5),IF($K$14="675-700",IF($K$15="Yes",'Data Tables'!AC5,'Data Tables'!AD5),IF($K$14="700-750",IF($K$15="Yes",'Data Tables'!AI5,'Data Tables'!AJ5),IF($K$14="750-800",IF($K$15="Yes",'Data Tables'!AI5,'Data Tables'!AJ5),IF($K$14="800-850",IF($K$15="Yes",'Data Tables'!AI5,'Data Tables'!AJ5),IF($K$15="Yes",'Data Tables'!AI5,'Data Tables'!AJ5)))))))))))))),IF($K$12="Yare",($K27*(IF($K$13="Freely draining",IF($K$14="550-575",IF($K$15="Yes",'Data Tables'!S16,'Data Tables'!T16),IF($K$14="575-600",IF($K$15="Yes",'Data Tables'!S16,'Data Tables'!T16),IF($K$14="600-625",IF($K$15="Yes",'Data Tables'!Y16,'Data Tables'!Z16),IF($K$14="625-650",IF($K$15="Yes",'Data Tables'!Y16,'Data Tables'!Z16),IF($K$14="650-675",IF($K$15="Yes",'Data Tables'!Y16,'Data Tables'!Z16),IF($K$14="675-700",IF($K$15="Yes",'Data Tables'!Y16,'Data Tables'!Z16),IF($K$14="700-750",IF($K$15="Yes",'Data Tables'!AE16,'Data Tables'!AF16),IF($K$14="750-800",IF($K$15="Yes",'Data Tables'!AE16,'Data Tables'!AF16),IF($K$14="800-850",IF($K$15="Yes",'Data Tables'!AE16,'Data Tables'!AF16),IF($K$15="Yes",'Data Tables'!AE16,'Data Tables'!AF16)))))))))),IF($K$13="Impermeable - drained for arable",IF($K$14="550-575",IF($K$15="Yes",'Data Tables'!U16,'Data Tables'!V16),IF($K$14="575-600",IF($K$15="Yes",'Data Tables'!U16,'Data Tables'!V16),IF($K$14="600-625",IF($K$15="Yes",'Data Tables'!AA16,'Data Tables'!AB16),IF($K$14="625-650",IF($K$15="Yes",'Data Tables'!AA16,'Data Tables'!AB16),IF($K$14="650-675",IF($K$15="Yes",'Data Tables'!AA16,'Data Tables'!AB16),IF($K$14="675-700",IF($K$15="Yes",'Data Tables'!AA16,'Data Tables'!AB16),IF($K$14="700-750",IF($K$15="Yes",'Data Tables'!AG16,'Data Tables'!AH16),IF($K$14="750-800",IF($K$15="Yes",'Data Tables'!AG16,'Data Tables'!AH16),IF($K$14="800-850",IF($K$15="Yes",'Data Tables'!AG16,'Data Tables'!AH16),IF($K$15="Yes",'Data Tables'!AG16,'Data Tables'!AH16)))))))))),IF($K$14="550-575",IF($K$15="Yes",'Data Tables'!W16,'Data Tables'!X16),IF($K$14="575-600",IF($K$15="Yes",'Data Tables'!W16,'Data Tables'!X16),IF($K$14="600-625",IF($K$15="Yes",'Data Tables'!AC16,'Data Tables'!AD16),IF($K$14="625-650",IF($K$15="Yes",'Data Tables'!AC16,'Data Tables'!AD16),IF($K$14="650-675",IF($K$15="Yes",'Data Tables'!AC16,'Data Tables'!AD16),IF($K$14="675-700",IF($K$15="Yes",'Data Tables'!AC16,'Data Tables'!AD16),IF($K$14="700-750",IF($K$15="Yes",'Data Tables'!AI16,'Data Tables'!AJ16),IF($K$14="750-800",IF($K$15="Yes",'Data Tables'!AI16,'Data Tables'!AJ16),IF($K$14="800-850",IF($K$15="Yes",'Data Tables'!AI16,'Data Tables'!AJ16),IF($K$15="Yes",'Data Tables'!AI16,'Data Tables'!AJ16)))))))))))))),($K27*(IF($K$13="Freely draining",IF($K$14="550-575",IF($K$15="Yes",'Data Tables'!S27,'Data Tables'!T27),IF($K$14="575-600",IF($K$15="Yes",'Data Tables'!S27,'Data Tables'!T27),IF($K$14="600-625",IF($K$15="Yes",'Data Tables'!Y27,'Data Tables'!Z27),IF($K$14="625-650",IF($K$15="Yes",'Data Tables'!Y27,'Data Tables'!Z27),IF($K$14="650-675",IF($K$15="Yes",'Data Tables'!Y27,'Data Tables'!Z27),IF($K$14="675-700",IF($K$15="Yes",'Data Tables'!Y27,'Data Tables'!Z27),IF($K$14="700-750",IF($K$15="Yes",'Data Tables'!AE27,'Data Tables'!AF27),IF($K$14="750-800",IF($K$15="Yes",'Data Tables'!AE27,'Data Tables'!AF27),IF($K$14="800-850",IF($K$15="Yes",'Data Tables'!AE27,'Data Tables'!AF27),IF($K$15="Yes",'Data Tables'!AE27,'Data Tables'!AF27)))))))))),IF($K$13="Impermeable - drained for arable",IF($K$14="550-575",IF($K$15="Yes",'Data Tables'!U27,'Data Tables'!V27),IF($K$14="575-600",IF($K$15="Yes",'Data Tables'!U27,'Data Tables'!V27),IF($K$14="600-625",IF($K$15="Yes",'Data Tables'!AA27,'Data Tables'!AB27),IF($K$14="625-650",IF($K$15="Yes",'Data Tables'!AA27,'Data Tables'!AB27),IF($K$14="650-675",IF($K$15="Yes",'Data Tables'!AA27,'Data Tables'!AB27),IF($K$14="675-700",IF($K$15="Yes",'Data Tables'!AA27,'Data Tables'!AB27),IF($K$14="700-750",IF($K$15="Yes",'Data Tables'!AG27,'Data Tables'!AH27),IF($K$14="750-800",IF($K$15="Yes",'Data Tables'!AG27,'Data Tables'!AH27),IF($K$14="800-850",IF($K$15="Yes",'Data Tables'!AG27,'Data Tables'!AH27),IF($K$15="Yes",'Data Tables'!AG27,'Data Tables'!AH27)))))))))),IF($K$14="550-575",IF($K$15="Yes",'Data Tables'!W27,'Data Tables'!X27),IF($K$14="575-600",IF($K$15="Yes",'Data Tables'!W27,'Data Tables'!X27),IF($K$14="600-625",IF($K$15="Yes",'Data Tables'!AC27,'Data Tables'!AD27),IF($K$14="625-650",IF($K$15="Yes",'Data Tables'!AC27,'Data Tables'!AD27),IF($K$14="650-675",IF($K$15="Yes",'Data Tables'!AC27,'Data Tables'!AD27),IF($K$14="675-700",IF($K$15="Yes",'Data Tables'!AC27,'Data Tables'!AD27),IF($K$14="700-750",IF($K$15="Yes",'Data Tables'!AI27,'Data Tables'!AJ27),IF($K$14="750-800",IF($K$15="Yes",'Data Tables'!AI27,'Data Tables'!AJ27),IF($K$14="800-850",IF($K$15="Yes",'Data Tables'!AI27,'Data Tables'!AJ27),IF($K$15="Yes",'Data Tables'!AI27,'Data Tables'!AJ27))))))))))))))))</f>
        <v>0</v>
      </c>
      <c r="P27" s="284"/>
      <c r="Q27" s="287">
        <f>IF($K$12="Wensum",($K27*(IF($K$13="Freely draining",IF($K$14="550-575",IF($K$15="Yes",'Data Tables'!AM5,'Data Tables'!AN5),IF($K$14="575-600",IF($K$15="Yes",'Data Tables'!AM5,'Data Tables'!AN5),IF($K$14="600-625",IF($K$15="Yes",'Data Tables'!AS5,'Data Tables'!AT5),IF($K$14="625-650",IF($K$15="Yes",'Data Tables'!AS5,'Data Tables'!AT5),IF($K$14="650-675",IF($K$15="Yes",'Data Tables'!AS5,'Data Tables'!AT5),IF($K$14="675-700",IF($K$15="Yes",'Data Tables'!AS5,'Data Tables'!AT5),IF($K$14="700-750",IF($K$15="Yes",'Data Tables'!AY5,'Data Tables'!AZ5),IF($K$14="750-800",IF($K$15="Yes",'Data Tables'!AY5,'Data Tables'!AZ5),IF($K$14="800-850",IF($K$15="Yes",'Data Tables'!AY5,'Data Tables'!AZ5),IF($K$15="Yes",'Data Tables'!AS5,'Data Tables'!AT5)))))))))),IF($K$13="Impermeable - drained for arable",IF($K$14="550-575",IF($K$15="Yes",'Data Tables'!AO5,'Data Tables'!AP5),IF($K$14="575-600",IF($K$15="Yes",'Data Tables'!AO5,'Data Tables'!AP5),IF($K$14="600-625",IF($K$15="Yes",'Data Tables'!AU5,'Data Tables'!AV5),IF($K$14="625-650",IF($K$15="Yes",'Data Tables'!AU5,'Data Tables'!AV5),IF($K$14="650-675",IF($K$15="Yes",'Data Tables'!AU5,'Data Tables'!AV5),IF($K$14="675-700",IF($K$15="Yes",'Data Tables'!AU5,'Data Tables'!AV5),IF($K$14="700-750",IF($K$15="Yes",'Data Tables'!BA5,'Data Tables'!BB5),IF($K$14="750-800",IF($K$15="Yes",'Data Tables'!BA5,'Data Tables'!BB5),IF($K$14="800-850",IF($K$15="Yes",'Data Tables'!BA5,'Data Tables'!BB5),IF($K$15="Yes",'Data Tables'!BA5,'Data Tables'!BB5)))))))))),IF($K$14="550-575",IF($K$15="Yes",'Data Tables'!AQ5,'Data Tables'!AR5),IF($K$14="575-600",IF($K$15="Yes",'Data Tables'!AQ5,'Data Tables'!AR5),IF($K$14="600-625",IF($K$15="Yes",'Data Tables'!AW5,'Data Tables'!AX5),IF($K$14="625-650",IF($K$15="Yes",'Data Tables'!AW5,'Data Tables'!AX5),IF($K$14="650-675",IF($K$15="Yes",'Data Tables'!AW5,'Data Tables'!AX5),IF($K$14="675-700",IF($K$15="Yes",'Data Tables'!AW5,'Data Tables'!AX5),IF($K$14="700-750",IF($K$15="Yes",'Data Tables'!BC5,'Data Tables'!BD5),IF($K$14="750-800",IF($K$15="Yes",'Data Tables'!BC5,'Data Tables'!BD5),IF($K$14="800-850",IF($K$15="Yes",'Data Tables'!BC5,'Data Tables'!BD5),IF($K$15="Yes",'Data Tables'!BC5,'Data Tables'!BD5)))))))))))))),IF($K$12="Yare",($K27*(IF($K$13="Freely draining",IF($K$14="550-575",IF($K$15="Yes",'Data Tables'!AM16,'Data Tables'!AN16),IF($K$14="575-600",IF($K$15="Yes",'Data Tables'!AM16,'Data Tables'!AN16),IF($K$14="600-625",IF($K$15="Yes",'Data Tables'!AS16,'Data Tables'!AT16),IF($K$14="625-650",IF($K$15="Yes",'Data Tables'!AS16,'Data Tables'!AT16),IF($K$14="650-675",IF($K$15="Yes",'Data Tables'!AS16,'Data Tables'!AT16),IF($K$14="675-700",IF($K$15="Yes",'Data Tables'!AS16,'Data Tables'!AT16),IF($K$14="700-750",IF($K$15="Yes",'Data Tables'!AY16,'Data Tables'!AZ16),IF($K$14="750-800",IF($K$15="Yes",'Data Tables'!AY16,'Data Tables'!AZ16),IF($K$14="800-850",IF($K$15="Yes",'Data Tables'!AY16,'Data Tables'!AZ16),IF($K$15="Yes",'Data Tables'!AY16,'Data Tables'!AZ16)))))))))),IF($K$13="Impermeable - drained for arable",IF($K$14="550-575",IF($K$15="Yes",'Data Tables'!AO16,'Data Tables'!AP16),IF($K$14="575-600",IF($K$15="Yes",'Data Tables'!AO16,'Data Tables'!AP16),IF($K$14="600-625",IF($K$15="Yes",'Data Tables'!AU16,'Data Tables'!AV16),IF($K$14="625-650",IF($K$15="Yes",'Data Tables'!AU16,'Data Tables'!AV16),IF($K$14="650-675",IF($K$15="Yes",'Data Tables'!AU16,'Data Tables'!AV16),IF($K$14="675-700",IF($K$15="Yes",'Data Tables'!AU16,'Data Tables'!AV16),IF($K$14="700-750",IF($K$15="Yes",'Data Tables'!BA16,'Data Tables'!BB16),IF($K$14="750-800",IF($K$15="Yes",'Data Tables'!BA16,'Data Tables'!BB16),IF($K$14="800-850",IF($K$15="Yes",'Data Tables'!BA16,'Data Tables'!BB16),IF($K$15="Yes",'Data Tables'!BA16,'Data Tables'!BB16)))))))))),IF($K$14="550-575",IF($K$15="Yes",'Data Tables'!AQ16,'Data Tables'!AR16),IF($K$14="575-600",IF($K$15="Yes",'Data Tables'!AQ16,'Data Tables'!AR16),IF($K$14="600-625",IF($K$15="Yes",'Data Tables'!AW16,'Data Tables'!AX16),IF($K$14="625-650",IF($K$15="Yes",'Data Tables'!AW16,'Data Tables'!AX16),IF($K$14="650-675",IF($K$15="Yes",'Data Tables'!AW16,'Data Tables'!AX16),IF($K$14="675-700",IF($K$15="Yes",'Data Tables'!AW16,'Data Tables'!AX16),IF($K$14="700-750",IF($K$15="Yes",'Data Tables'!BC16,'Data Tables'!BD16),IF($K$14="750-800",IF($K$15="Yes",'Data Tables'!BC16,'Data Tables'!BD16),IF($K$14="800-850",IF($K$15="Yes",'Data Tables'!BC16,'Data Tables'!BD16),IF($K$15="Yes",'Data Tables'!BC16,'Data Tables'!BD16)))))))))))))),($K27*(IF($K$13="Freely draining",IF($K$14="550-575",IF($K$15="Yes",'Data Tables'!AM27,'Data Tables'!AN27),IF($K$14="575-600",IF($K$15="Yes",'Data Tables'!AM27,'Data Tables'!AN27),IF($K$14="600-625",IF($K$15="Yes",'Data Tables'!AS27,'Data Tables'!AT27),IF($K$14="625-650",IF($K$15="Yes",'Data Tables'!AS27,'Data Tables'!AT27),IF($K$14="650-675",IF($K$15="Yes",'Data Tables'!AS27,'Data Tables'!AT27),IF($K$14="675-700",IF($K$15="Yes",'Data Tables'!AS27,'Data Tables'!AT27),IF($K$14="700-750",IF($K$15="Yes",'Data Tables'!AY27,'Data Tables'!AZ27),IF($K$14="750-800",IF($K$15="Yes",'Data Tables'!AY27,'Data Tables'!AZ27),IF($K$14="800-850",IF($K$15="Yes",'Data Tables'!AY27,'Data Tables'!AZ27),IF($K$15="Yes",'Data Tables'!AY27,'Data Tables'!AZ27)))))))))),IF($K$13="Impermeable - drained for arable",IF($K$14="550-575",IF($K$15="Yes",'Data Tables'!AO27,'Data Tables'!AP27),IF($K$14="575-600",IF($K$15="Yes",'Data Tables'!AO27,'Data Tables'!AP27),IF($K$14="600-625",IF($K$15="Yes",'Data Tables'!AU27,'Data Tables'!AV27),IF($K$14="625-650",IF($K$15="Yes",'Data Tables'!AU27,'Data Tables'!AV27),IF($K$14="650-675",IF($K$15="Yes",'Data Tables'!AU27,'Data Tables'!AV27),IF($K$14="675-700",IF($K$15="Yes",'Data Tables'!AU27,'Data Tables'!AV27),IF($K$14="700-750",IF($K$15="Yes",'Data Tables'!BA27,'Data Tables'!BB27),IF($K$14="750-800",IF($K$15="Yes",'Data Tables'!BA27,'Data Tables'!BB27),IF($K$14="800-850",IF($K$15="Yes",'Data Tables'!BA27,'Data Tables'!BB27),IF($K$15="Yes",'Data Tables'!BA27,'Data Tables'!BB27)))))))))),IF($K$14="550-575",IF($K$15="Yes",'Data Tables'!AQ27,'Data Tables'!AR27),IF($K$14="575-600",IF($K$15="Yes",'Data Tables'!AQ27,'Data Tables'!AR27),IF($K$14="600-625",IF($K$15="Yes",'Data Tables'!AW27,'Data Tables'!AX27),IF($K$14="625-650",IF($K$15="Yes",'Data Tables'!AW27,'Data Tables'!AX27),IF($K$14="650-675",IF($K$15="Yes",'Data Tables'!AW27,'Data Tables'!AX27),IF($K$14="675-700",IF($K$15="Yes",'Data Tables'!AW27,'Data Tables'!AX27),IF($K$14="700-750",IF($K$15="Yes",'Data Tables'!BC27,'Data Tables'!BD27),IF($K$14="750-800",IF($K$15="Yes",'Data Tables'!BC27,'Data Tables'!BD27),IF($K$14="800-850",IF($K$15="Yes",'Data Tables'!BC27,'Data Tables'!BD27),IF($K$15="Yes",'Data Tables'!BC27,'Data Tables'!BD27))))))))))))))))</f>
        <v>0</v>
      </c>
      <c r="R27" s="288"/>
      <c r="S27" s="49" t="s">
        <v>391</v>
      </c>
      <c r="T27" s="6"/>
      <c r="W27" s="113"/>
      <c r="X27" s="113"/>
      <c r="Y27" s="113"/>
      <c r="Z27" s="113"/>
      <c r="AA27" s="113"/>
      <c r="AB27" s="113"/>
      <c r="AC27" s="113"/>
      <c r="AD27" s="113"/>
      <c r="AE27" s="113"/>
      <c r="AF27" s="113"/>
      <c r="AG27" s="113"/>
      <c r="AH27" s="113"/>
      <c r="AI27" s="113"/>
      <c r="AJ27" s="113"/>
      <c r="AK27" s="113"/>
      <c r="AL27" s="113"/>
      <c r="AM27" s="113"/>
      <c r="AN27" s="113"/>
      <c r="AO27" s="113"/>
      <c r="AQ27" s="113"/>
      <c r="AR27" s="113"/>
      <c r="AS27" s="113"/>
      <c r="AT27" s="113"/>
      <c r="AU27" s="113"/>
      <c r="AV27" s="113"/>
      <c r="AW27" s="113"/>
      <c r="AX27" s="113"/>
      <c r="AY27" s="113"/>
      <c r="AZ27" s="113"/>
      <c r="BA27" s="113"/>
      <c r="BB27" s="113"/>
      <c r="BC27" s="113"/>
    </row>
    <row r="28" spans="2:55" ht="14.55" customHeight="1" x14ac:dyDescent="0.3">
      <c r="B28" s="4"/>
      <c r="C28" s="42"/>
      <c r="D28" s="227"/>
      <c r="E28" s="49"/>
      <c r="F28" s="445" t="s">
        <v>246</v>
      </c>
      <c r="G28" s="445"/>
      <c r="H28" s="445"/>
      <c r="I28" s="445"/>
      <c r="J28" s="445"/>
      <c r="K28" s="282"/>
      <c r="L28" s="240" t="s">
        <v>17</v>
      </c>
      <c r="M28" s="49"/>
      <c r="N28" s="49"/>
      <c r="O28" s="287">
        <f>IF($K$12="Wensum",($K28*(IF($K$13="Freely draining",IF($K$14="550-575",IF($K$15="Yes",'Data Tables'!S6,'Data Tables'!T6),IF($K$14="575-600",IF($K$15="Yes",'Data Tables'!S6,'Data Tables'!T6),IF($K$14="600-625",IF($K$15="Yes",'Data Tables'!Y6,'Data Tables'!Z6),IF($K$14="625-650",IF($K$15="Yes",'Data Tables'!Y6,'Data Tables'!Z6),IF($K$14="650-675",IF($K$15="Yes",'Data Tables'!Y6,'Data Tables'!Z6),IF($K$14="675-700",IF($K$15="Yes",'Data Tables'!Y6,'Data Tables'!Z6),IF($K$14="700-750",IF($K$15="Yes",'Data Tables'!AE6,'Data Tables'!AF6),IF($K$14="750-800",IF($K$15="Yes",'Data Tables'!AE6,'Data Tables'!AF6),IF($K$14="800-850",IF($K$15="Yes",'Data Tables'!AE6,'Data Tables'!AF6),IF($K$15="Yes",'Data Tables'!Y6,'Data Tables'!Z6)))))))))),IF($K$13="Impermeable - drained for arable",IF($K$14="550-575",IF($K$15="Yes",'Data Tables'!U6,'Data Tables'!V6),IF($K$14="575-600",IF($K$15="Yes",'Data Tables'!U6,'Data Tables'!V6),IF($K$14="600-625",IF($K$15="Yes",'Data Tables'!AA6,'Data Tables'!AB6),IF($K$14="625-650",IF($K$15="Yes",'Data Tables'!AA6,'Data Tables'!AB6),IF($K$14="650-675",IF($K$15="Yes",'Data Tables'!AA6,'Data Tables'!AB6),IF($K$14="675-700",IF($K$15="Yes",'Data Tables'!AA6,'Data Tables'!AB6),IF($K$14="700-750",IF($K$15="Yes",'Data Tables'!AG6,'Data Tables'!AH6),IF($K$14="750-800",IF($K$15="Yes",'Data Tables'!AG6,'Data Tables'!AH6),IF($K$14="800-850",IF($K$15="Yes",'Data Tables'!AG6,'Data Tables'!AH6),IF($K$15="Yes",'Data Tables'!AG6,'Data Tables'!AH6)))))))))),IF($K$14="550-575",IF($K$15="Yes",'Data Tables'!W6,'Data Tables'!X6),IF($K$14="575-600",IF($K$15="Yes",'Data Tables'!W6,'Data Tables'!X6),IF($K$14="600-625",IF($K$15="Yes",'Data Tables'!AC6,'Data Tables'!AD6),IF($K$14="625-650",IF($K$15="Yes",'Data Tables'!AC6,'Data Tables'!AD6),IF($K$14="650-675",IF($K$15="Yes",'Data Tables'!AC6,'Data Tables'!AD6),IF($K$14="675-700",IF($K$15="Yes",'Data Tables'!AC6,'Data Tables'!AD6),IF($K$14="700-750",IF($K$15="Yes",'Data Tables'!AI6,'Data Tables'!AJ6),IF($K$14="750-800",IF($K$15="Yes",'Data Tables'!AI6,'Data Tables'!AJ6),IF($K$14="800-850",IF($K$15="Yes",'Data Tables'!AI6,'Data Tables'!AJ6),IF($K$15="Yes",'Data Tables'!AI6,'Data Tables'!AJ6)))))))))))))),IF($K$12="Yare",($K28*(IF($K$13="Freely draining",IF($K$14="550-575",IF($K$15="Yes",'Data Tables'!S17,'Data Tables'!T17),IF($K$14="575-600",IF($K$15="Yes",'Data Tables'!S17,'Data Tables'!T17),IF($K$14="600-625",IF($K$15="Yes",'Data Tables'!Y17,'Data Tables'!Z17),IF($K$14="625-650",IF($K$15="Yes",'Data Tables'!Y17,'Data Tables'!Z17),IF($K$14="650-675",IF($K$15="Yes",'Data Tables'!Y17,'Data Tables'!Z17),IF($K$14="675-700",IF($K$15="Yes",'Data Tables'!Y17,'Data Tables'!Z17),IF($K$14="700-750",IF($K$15="Yes",'Data Tables'!AE17,'Data Tables'!AF17),IF($K$14="750-800",IF($K$15="Yes",'Data Tables'!AE17,'Data Tables'!AF17),IF($K$14="800-850",IF($K$15="Yes",'Data Tables'!AE17,'Data Tables'!AF17),IF($K$15="Yes",'Data Tables'!AE17,'Data Tables'!AF17)))))))))),IF($K$13="Impermeable - drained for arable",IF($K$14="550-575",IF($K$15="Yes",'Data Tables'!U17,'Data Tables'!V17),IF($K$14="575-600",IF($K$15="Yes",'Data Tables'!U17,'Data Tables'!V17),IF($K$14="600-625",IF($K$15="Yes",'Data Tables'!AA17,'Data Tables'!AB17),IF($K$14="625-650",IF($K$15="Yes",'Data Tables'!AA17,'Data Tables'!AB17),IF($K$14="650-675",IF($K$15="Yes",'Data Tables'!AA17,'Data Tables'!AB17),IF($K$14="675-700",IF($K$15="Yes",'Data Tables'!AA17,'Data Tables'!AB17),IF($K$14="700-750",IF($K$15="Yes",'Data Tables'!AG17,'Data Tables'!AH17),IF($K$14="750-800",IF($K$15="Yes",'Data Tables'!AG17,'Data Tables'!AH17),IF($K$14="800-850",IF($K$15="Yes",'Data Tables'!AG17,'Data Tables'!AH17),IF($K$15="Yes",'Data Tables'!AG17,'Data Tables'!AH17)))))))))),IF($K$14="550-575",IF($K$15="Yes",'Data Tables'!W17,'Data Tables'!X17),IF($K$14="575-600",IF($K$15="Yes",'Data Tables'!W17,'Data Tables'!X17),IF($K$14="600-625",IF($K$15="Yes",'Data Tables'!AC17,'Data Tables'!AD17),IF($K$14="625-650",IF($K$15="Yes",'Data Tables'!AC17,'Data Tables'!AD17),IF($K$14="650-675",IF($K$15="Yes",'Data Tables'!AC17,'Data Tables'!AD17),IF($K$14="675-700",IF($K$15="Yes",'Data Tables'!AC17,'Data Tables'!AD17),IF($K$14="700-750",IF($K$15="Yes",'Data Tables'!AI17,'Data Tables'!AJ17),IF($K$14="750-800",IF($K$15="Yes",'Data Tables'!AI17,'Data Tables'!AJ17),IF($K$14="800-850",IF($K$15="Yes",'Data Tables'!AI17,'Data Tables'!AJ17),IF($K$15="Yes",'Data Tables'!AI17,'Data Tables'!AJ17)))))))))))))),($K28*(IF($K$13="Freely draining",IF($K$14="550-575",IF($K$15="Yes",'Data Tables'!S28,'Data Tables'!T28),IF($K$14="575-600",IF($K$15="Yes",'Data Tables'!S28,'Data Tables'!T28),IF($K$14="600-625",IF($K$15="Yes",'Data Tables'!Y28,'Data Tables'!Z28),IF($K$14="625-650",IF($K$15="Yes",'Data Tables'!Y28,'Data Tables'!Z28),IF($K$14="650-675",IF($K$15="Yes",'Data Tables'!Y28,'Data Tables'!Z28),IF($K$14="675-700",IF($K$15="Yes",'Data Tables'!Y28,'Data Tables'!Z28),IF($K$14="700-750",IF($K$15="Yes",'Data Tables'!AE28,'Data Tables'!AF28),IF($K$14="750-800",IF($K$15="Yes",'Data Tables'!AE28,'Data Tables'!AF28),IF($K$14="800-850",IF($K$15="Yes",'Data Tables'!AE28,'Data Tables'!AF28),IF($K$15="Yes",'Data Tables'!AE28,'Data Tables'!AF28)))))))))),IF($K$13="Impermeable - drained for arable",IF($K$14="550-575",IF($K$15="Yes",'Data Tables'!U28,'Data Tables'!V28),IF($K$14="575-600",IF($K$15="Yes",'Data Tables'!U28,'Data Tables'!V28),IF($K$14="600-625",IF($K$15="Yes",'Data Tables'!AA28,'Data Tables'!AB28),IF($K$14="625-650",IF($K$15="Yes",'Data Tables'!AA28,'Data Tables'!AB28),IF($K$14="650-675",IF($K$15="Yes",'Data Tables'!AA28,'Data Tables'!AB28),IF($K$14="675-700",IF($K$15="Yes",'Data Tables'!AA28,'Data Tables'!AB28),IF($K$14="700-750",IF($K$15="Yes",'Data Tables'!AG28,'Data Tables'!AH28),IF($K$14="750-800",IF($K$15="Yes",'Data Tables'!AG28,'Data Tables'!AH28),IF($K$14="800-850",IF($K$15="Yes",'Data Tables'!AG28,'Data Tables'!AH28),IF($K$15="Yes",'Data Tables'!AG28,'Data Tables'!AH28)))))))))),IF($K$14="550-575",IF($K$15="Yes",'Data Tables'!W28,'Data Tables'!X28),IF($K$14="575-600",IF($K$15="Yes",'Data Tables'!W28,'Data Tables'!X28),IF($K$14="600-625",IF($K$15="Yes",'Data Tables'!AC28,'Data Tables'!AD28),IF($K$14="625-650",IF($K$15="Yes",'Data Tables'!AC28,'Data Tables'!AD28),IF($K$14="650-675",IF($K$15="Yes",'Data Tables'!AC28,'Data Tables'!AD28),IF($K$14="675-700",IF($K$15="Yes",'Data Tables'!AC28,'Data Tables'!AD28),IF($K$14="700-750",IF($K$15="Yes",'Data Tables'!AI28,'Data Tables'!AJ28),IF($K$14="750-800",IF($K$15="Yes",'Data Tables'!AI28,'Data Tables'!AJ28),IF($K$14="800-850",IF($K$15="Yes",'Data Tables'!AI28,'Data Tables'!AJ28),IF($K$15="Yes",'Data Tables'!AI28,'Data Tables'!AJ28))))))))))))))))</f>
        <v>0</v>
      </c>
      <c r="P28" s="284"/>
      <c r="Q28" s="287">
        <f>IF($K$12="Wensum",($K28*(IF($K$13="Freely draining",IF($K$14="550-575",IF($K$15="Yes",'Data Tables'!AM6,'Data Tables'!AN6),IF($K$14="575-600",IF($K$15="Yes",'Data Tables'!AM6,'Data Tables'!AN6),IF($K$14="600-625",IF($K$15="Yes",'Data Tables'!AS6,'Data Tables'!AT6),IF($K$14="625-650",IF($K$15="Yes",'Data Tables'!AS6,'Data Tables'!AT6),IF($K$14="650-675",IF($K$15="Yes",'Data Tables'!AS6,'Data Tables'!AT6),IF($K$14="675-700",IF($K$15="Yes",'Data Tables'!AS6,'Data Tables'!AT6),IF($K$14="700-750",IF($K$15="Yes",'Data Tables'!AY6,'Data Tables'!AZ6),IF($K$14="750-800",IF($K$15="Yes",'Data Tables'!AY6,'Data Tables'!AZ6),IF($K$14="800-850",IF($K$15="Yes",'Data Tables'!AY6,'Data Tables'!AZ6),IF($K$15="Yes",'Data Tables'!AS6,'Data Tables'!AT6)))))))))),IF($K$13="Impermeable - drained for arable",IF($K$14="550-575",IF($K$15="Yes",'Data Tables'!AO6,'Data Tables'!AP6),IF($K$14="575-600",IF($K$15="Yes",'Data Tables'!AO6,'Data Tables'!AP6),IF($K$14="600-625",IF($K$15="Yes",'Data Tables'!AU6,'Data Tables'!AV6),IF($K$14="625-650",IF($K$15="Yes",'Data Tables'!AU6,'Data Tables'!AV6),IF($K$14="650-675",IF($K$15="Yes",'Data Tables'!AU6,'Data Tables'!AV6),IF($K$14="675-700",IF($K$15="Yes",'Data Tables'!AU6,'Data Tables'!AV6),IF($K$14="700-750",IF($K$15="Yes",'Data Tables'!BA6,'Data Tables'!BB6),IF($K$14="750-800",IF($K$15="Yes",'Data Tables'!BA6,'Data Tables'!BB6),IF($K$14="800-850",IF($K$15="Yes",'Data Tables'!BA6,'Data Tables'!BB6),IF($K$15="Yes",'Data Tables'!BA6,'Data Tables'!BB6)))))))))),IF($K$14="550-575",IF($K$15="Yes",'Data Tables'!AQ6,'Data Tables'!AR6),IF($K$14="575-600",IF($K$15="Yes",'Data Tables'!AQ6,'Data Tables'!AR6),IF($K$14="600-625",IF($K$15="Yes",'Data Tables'!AW6,'Data Tables'!AX6),IF($K$14="625-650",IF($K$15="Yes",'Data Tables'!AW6,'Data Tables'!AX6),IF($K$14="650-675",IF($K$15="Yes",'Data Tables'!AW6,'Data Tables'!AX6),IF($K$14="675-700",IF($K$15="Yes",'Data Tables'!AW6,'Data Tables'!AX6),IF($K$14="700-750",IF($K$15="Yes",'Data Tables'!BC6,'Data Tables'!BD6),IF($K$14="750-800",IF($K$15="Yes",'Data Tables'!BC6,'Data Tables'!BD6),IF($K$14="800-850",IF($K$15="Yes",'Data Tables'!BC6,'Data Tables'!BD6),IF($K$15="Yes",'Data Tables'!BC6,'Data Tables'!BD6)))))))))))))),IF($K$12="Yare",($K28*(IF($K$13="Freely draining",IF($K$14="550-575",IF($K$15="Yes",'Data Tables'!AM17,'Data Tables'!AN17),IF($K$14="575-600",IF($K$15="Yes",'Data Tables'!AM17,'Data Tables'!AN17),IF($K$14="600-625",IF($K$15="Yes",'Data Tables'!AS17,'Data Tables'!AT17),IF($K$14="625-650",IF($K$15="Yes",'Data Tables'!AS17,'Data Tables'!AT17),IF($K$14="650-675",IF($K$15="Yes",'Data Tables'!AS17,'Data Tables'!AT17),IF($K$14="675-700",IF($K$15="Yes",'Data Tables'!AS17,'Data Tables'!AT17),IF($K$14="700-750",IF($K$15="Yes",'Data Tables'!AY17,'Data Tables'!AZ17),IF($K$14="750-800",IF($K$15="Yes",'Data Tables'!AY17,'Data Tables'!AZ17),IF($K$14="800-850",IF($K$15="Yes",'Data Tables'!AY17,'Data Tables'!AZ17),IF($K$15="Yes",'Data Tables'!AY17,'Data Tables'!AZ17)))))))))),IF($K$13="Impermeable - drained for arable",IF($K$14="550-575",IF($K$15="Yes",'Data Tables'!AO17,'Data Tables'!AP17),IF($K$14="575-600",IF($K$15="Yes",'Data Tables'!AO17,'Data Tables'!AP17),IF($K$14="600-625",IF($K$15="Yes",'Data Tables'!AU17,'Data Tables'!AV17),IF($K$14="625-650",IF($K$15="Yes",'Data Tables'!AU17,'Data Tables'!AV17),IF($K$14="650-675",IF($K$15="Yes",'Data Tables'!AU17,'Data Tables'!AV17),IF($K$14="675-700",IF($K$15="Yes",'Data Tables'!AU17,'Data Tables'!AV17),IF($K$14="700-750",IF($K$15="Yes",'Data Tables'!BA17,'Data Tables'!BB17),IF($K$14="750-800",IF($K$15="Yes",'Data Tables'!BA17,'Data Tables'!BB17),IF($K$14="800-850",IF($K$15="Yes",'Data Tables'!BA17,'Data Tables'!BB17),IF($K$15="Yes",'Data Tables'!BA17,'Data Tables'!BB17)))))))))),IF($K$14="550-575",IF($K$15="Yes",'Data Tables'!AQ17,'Data Tables'!AR17),IF($K$14="575-600",IF($K$15="Yes",'Data Tables'!AQ17,'Data Tables'!AR17),IF($K$14="600-625",IF($K$15="Yes",'Data Tables'!AW17,'Data Tables'!AX17),IF($K$14="625-650",IF($K$15="Yes",'Data Tables'!AW17,'Data Tables'!AX17),IF($K$14="650-675",IF($K$15="Yes",'Data Tables'!AW17,'Data Tables'!AX17),IF($K$14="675-700",IF($K$15="Yes",'Data Tables'!AW17,'Data Tables'!AX17),IF($K$14="700-750",IF($K$15="Yes",'Data Tables'!BC17,'Data Tables'!BD17),IF($K$14="750-800",IF($K$15="Yes",'Data Tables'!BC17,'Data Tables'!BD17),IF($K$14="800-850",IF($K$15="Yes",'Data Tables'!BC17,'Data Tables'!BD17),IF($K$15="Yes",'Data Tables'!BC17,'Data Tables'!BD17)))))))))))))),($K28*(IF($K$13="Freely draining",IF($K$14="550-575",IF($K$15="Yes",'Data Tables'!AM28,'Data Tables'!AN28),IF($K$14="575-600",IF($K$15="Yes",'Data Tables'!AM28,'Data Tables'!AN28),IF($K$14="600-625",IF($K$15="Yes",'Data Tables'!AS28,'Data Tables'!AT28),IF($K$14="625-650",IF($K$15="Yes",'Data Tables'!AS28,'Data Tables'!AT28),IF($K$14="650-675",IF($K$15="Yes",'Data Tables'!AS28,'Data Tables'!AT28),IF($K$14="675-700",IF($K$15="Yes",'Data Tables'!AS28,'Data Tables'!AT28),IF($K$14="700-750",IF($K$15="Yes",'Data Tables'!AY28,'Data Tables'!AZ28),IF($K$14="750-800",IF($K$15="Yes",'Data Tables'!AY28,'Data Tables'!AZ28),IF($K$14="800-850",IF($K$15="Yes",'Data Tables'!AY28,'Data Tables'!AZ28),IF($K$15="Yes",'Data Tables'!AY28,'Data Tables'!AZ28)))))))))),IF($K$13="Impermeable - drained for arable",IF($K$14="550-575",IF($K$15="Yes",'Data Tables'!AO28,'Data Tables'!AP28),IF($K$14="575-600",IF($K$15="Yes",'Data Tables'!AO28,'Data Tables'!AP28),IF($K$14="600-625",IF($K$15="Yes",'Data Tables'!AU28,'Data Tables'!AV28),IF($K$14="625-650",IF($K$15="Yes",'Data Tables'!AU28,'Data Tables'!AV28),IF($K$14="650-675",IF($K$15="Yes",'Data Tables'!AU28,'Data Tables'!AV28),IF($K$14="675-700",IF($K$15="Yes",'Data Tables'!AU28,'Data Tables'!AV28),IF($K$14="700-750",IF($K$15="Yes",'Data Tables'!BA28,'Data Tables'!BB28),IF($K$14="750-800",IF($K$15="Yes",'Data Tables'!BA28,'Data Tables'!BB28),IF($K$14="800-850",IF($K$15="Yes",'Data Tables'!BA28,'Data Tables'!BB28),IF($K$15="Yes",'Data Tables'!BA28,'Data Tables'!BB28)))))))))),IF($K$14="550-575",IF($K$15="Yes",'Data Tables'!AQ28,'Data Tables'!AR28),IF($K$14="575-600",IF($K$15="Yes",'Data Tables'!AQ28,'Data Tables'!AR28),IF($K$14="600-625",IF($K$15="Yes",'Data Tables'!AW28,'Data Tables'!AX28),IF($K$14="625-650",IF($K$15="Yes",'Data Tables'!AW28,'Data Tables'!AX28),IF($K$14="650-675",IF($K$15="Yes",'Data Tables'!AW28,'Data Tables'!AX28),IF($K$14="675-700",IF($K$15="Yes",'Data Tables'!AW28,'Data Tables'!AX28),IF($K$14="700-750",IF($K$15="Yes",'Data Tables'!BC28,'Data Tables'!BD28),IF($K$14="750-800",IF($K$15="Yes",'Data Tables'!BC28,'Data Tables'!BD28),IF($K$14="800-850",IF($K$15="Yes",'Data Tables'!BC28,'Data Tables'!BD28),IF($K$15="Yes",'Data Tables'!BC28,'Data Tables'!BD28))))))))))))))))</f>
        <v>0</v>
      </c>
      <c r="R28" s="288"/>
      <c r="S28" s="49" t="s">
        <v>391</v>
      </c>
      <c r="T28" s="6"/>
      <c r="W28" s="113"/>
      <c r="X28" s="113"/>
      <c r="Y28" s="113"/>
      <c r="Z28" s="113"/>
      <c r="AA28" s="113"/>
      <c r="AB28" s="113"/>
      <c r="AC28" s="113"/>
      <c r="AD28" s="113"/>
      <c r="AE28" s="113"/>
      <c r="AF28" s="113"/>
      <c r="AG28" s="113"/>
      <c r="AH28" s="113"/>
      <c r="AI28" s="113"/>
      <c r="AJ28" s="113"/>
      <c r="AK28" s="113"/>
      <c r="AL28" s="113"/>
      <c r="AM28" s="113"/>
      <c r="AN28" s="113"/>
      <c r="AO28" s="113"/>
      <c r="AQ28" s="113"/>
      <c r="AR28" s="113"/>
      <c r="AS28" s="113"/>
      <c r="AT28" s="113"/>
      <c r="AU28" s="113"/>
      <c r="AV28" s="113"/>
      <c r="AW28" s="113"/>
      <c r="AX28" s="113"/>
      <c r="AY28" s="113"/>
      <c r="AZ28" s="113"/>
      <c r="BA28" s="113"/>
      <c r="BB28" s="113"/>
      <c r="BC28" s="113"/>
    </row>
    <row r="29" spans="2:55" ht="14.55" customHeight="1" x14ac:dyDescent="0.3">
      <c r="B29" s="4"/>
      <c r="C29" s="42"/>
      <c r="D29" s="227"/>
      <c r="E29" s="49"/>
      <c r="F29" s="445" t="s">
        <v>388</v>
      </c>
      <c r="G29" s="445"/>
      <c r="H29" s="445"/>
      <c r="I29" s="445"/>
      <c r="J29" s="445"/>
      <c r="K29" s="282"/>
      <c r="L29" s="240" t="s">
        <v>17</v>
      </c>
      <c r="M29" s="49"/>
      <c r="N29" s="49"/>
      <c r="O29" s="287">
        <f>IF($K$12="Wensum",($K29*(IF($K$13="Freely draining",IF($K$14="550-575",IF($K$15="Yes",'Data Tables'!S7,'Data Tables'!T7),IF($K$14="575-600",IF($K$15="Yes",'Data Tables'!S7,'Data Tables'!T7),IF($K$14="600-625",IF($K$15="Yes",'Data Tables'!Y7,'Data Tables'!Z7),IF($K$14="625-650",IF($K$15="Yes",'Data Tables'!Y7,'Data Tables'!Z7),IF($K$14="650-675",IF($K$15="Yes",'Data Tables'!Y7,'Data Tables'!Z7),IF($K$14="675-700",IF($K$15="Yes",'Data Tables'!Y7,'Data Tables'!Z7),IF($K$14="700-750",IF($K$15="Yes",'Data Tables'!AE7,'Data Tables'!AF7),IF($K$14="750-800",IF($K$15="Yes",'Data Tables'!AE7,'Data Tables'!AF7),IF($K$14="800-850",IF($K$15="Yes",'Data Tables'!AE7,'Data Tables'!AF7),IF($K$15="Yes",'Data Tables'!Y7,'Data Tables'!Z7)))))))))),IF($K$13="Impermeable - drained for arable",IF($K$14="550-575",IF($K$15="Yes",'Data Tables'!U7,'Data Tables'!V7),IF($K$14="575-600",IF($K$15="Yes",'Data Tables'!U7,'Data Tables'!V7),IF($K$14="600-625",IF($K$15="Yes",'Data Tables'!AA7,'Data Tables'!AB7),IF($K$14="625-650",IF($K$15="Yes",'Data Tables'!AA7,'Data Tables'!AB7),IF($K$14="650-675",IF($K$15="Yes",'Data Tables'!AA7,'Data Tables'!AB7),IF($K$14="675-700",IF($K$15="Yes",'Data Tables'!AA7,'Data Tables'!AB7),IF($K$14="700-750",IF($K$15="Yes",'Data Tables'!AG7,'Data Tables'!AH7),IF($K$14="750-800",IF($K$15="Yes",'Data Tables'!AG7,'Data Tables'!AH7),IF($K$14="800-850",IF($K$15="Yes",'Data Tables'!AG7,'Data Tables'!AH7),IF($K$15="Yes",'Data Tables'!AG7,'Data Tables'!AH7)))))))))),IF($K$14="550-575",IF($K$15="Yes",'Data Tables'!W7,'Data Tables'!X7),IF($K$14="575-600",IF($K$15="Yes",'Data Tables'!W7,'Data Tables'!X7),IF($K$14="600-625",IF($K$15="Yes",'Data Tables'!AC7,'Data Tables'!AD7),IF($K$14="625-650",IF($K$15="Yes",'Data Tables'!AC7,'Data Tables'!AD7),IF($K$14="650-675",IF($K$15="Yes",'Data Tables'!AC7,'Data Tables'!AD7),IF($K$14="675-700",IF($K$15="Yes",'Data Tables'!AC7,'Data Tables'!AD7),IF($K$14="700-750",IF($K$15="Yes",'Data Tables'!AI7,'Data Tables'!AJ7),IF($K$14="750-800",IF($K$15="Yes",'Data Tables'!AI7,'Data Tables'!AJ7),IF($K$14="800-850",IF($K$15="Yes",'Data Tables'!AI7,'Data Tables'!AJ7),IF($K$15="Yes",'Data Tables'!AI7,'Data Tables'!AJ7)))))))))))))),IF($K$12="Yare",($K29*(IF($K$13="Freely draining",IF($K$14="550-575",IF($K$15="Yes",'Data Tables'!S18,'Data Tables'!T18),IF($K$14="575-600",IF($K$15="Yes",'Data Tables'!S18,'Data Tables'!T18),IF($K$14="600-625",IF($K$15="Yes",'Data Tables'!Y18,'Data Tables'!Z18),IF($K$14="625-650",IF($K$15="Yes",'Data Tables'!Y18,'Data Tables'!Z18),IF($K$14="650-675",IF($K$15="Yes",'Data Tables'!Y18,'Data Tables'!Z18),IF($K$14="675-700",IF($K$15="Yes",'Data Tables'!Y18,'Data Tables'!Z18),IF($K$14="700-750",IF($K$15="Yes",'Data Tables'!AE18,'Data Tables'!AF18),IF($K$14="750-800",IF($K$15="Yes",'Data Tables'!AE18,'Data Tables'!AF18),IF($K$14="800-850",IF($K$15="Yes",'Data Tables'!AE18,'Data Tables'!AF18),IF($K$15="Yes",'Data Tables'!AE18,'Data Tables'!AF18)))))))))),IF($K$13="Impermeable - drained for arable",IF($K$14="550-575",IF($K$15="Yes",'Data Tables'!U18,'Data Tables'!V18),IF($K$14="575-600",IF($K$15="Yes",'Data Tables'!U18,'Data Tables'!V18),IF($K$14="600-625",IF($K$15="Yes",'Data Tables'!AA18,'Data Tables'!AB18),IF($K$14="625-650",IF($K$15="Yes",'Data Tables'!AA18,'Data Tables'!AB18),IF($K$14="650-675",IF($K$15="Yes",'Data Tables'!AA18,'Data Tables'!AB18),IF($K$14="675-700",IF($K$15="Yes",'Data Tables'!AA18,'Data Tables'!AB18),IF($K$14="700-750",IF($K$15="Yes",'Data Tables'!AG18,'Data Tables'!AH18),IF($K$14="750-800",IF($K$15="Yes",'Data Tables'!AG18,'Data Tables'!AH18),IF($K$14="800-850",IF($K$15="Yes",'Data Tables'!AG18,'Data Tables'!AH18),IF($K$15="Yes",'Data Tables'!AG18,'Data Tables'!AH18)))))))))),IF($K$14="550-575",IF($K$15="Yes",'Data Tables'!W18,'Data Tables'!X18),IF($K$14="575-600",IF($K$15="Yes",'Data Tables'!W18,'Data Tables'!X18),IF($K$14="600-625",IF($K$15="Yes",'Data Tables'!AC18,'Data Tables'!AD18),IF($K$14="625-650",IF($K$15="Yes",'Data Tables'!AC18,'Data Tables'!AD18),IF($K$14="650-675",IF($K$15="Yes",'Data Tables'!AC18,'Data Tables'!AD18),IF($K$14="675-700",IF($K$15="Yes",'Data Tables'!AC18,'Data Tables'!AD18),IF($K$14="700-750",IF($K$15="Yes",'Data Tables'!AI18,'Data Tables'!AJ18),IF($K$14="750-800",IF($K$15="Yes",'Data Tables'!AI18,'Data Tables'!AJ18),IF($K$14="800-850",IF($K$15="Yes",'Data Tables'!AI18,'Data Tables'!AJ18),IF($K$15="Yes",'Data Tables'!AI18,'Data Tables'!AJ18)))))))))))))),($K29*(IF($K$13="Freely draining",IF($K$14="550-575",IF($K$15="Yes",'Data Tables'!S29,'Data Tables'!T29),IF($K$14="575-600",IF($K$15="Yes",'Data Tables'!S29,'Data Tables'!T29),IF($K$14="600-625",IF($K$15="Yes",'Data Tables'!Y29,'Data Tables'!Z29),IF($K$14="625-650",IF($K$15="Yes",'Data Tables'!Y29,'Data Tables'!Z29),IF($K$14="650-675",IF($K$15="Yes",'Data Tables'!Y29,'Data Tables'!Z29),IF($K$14="675-700",IF($K$15="Yes",'Data Tables'!Y29,'Data Tables'!Z29),IF($K$14="700-750",IF($K$15="Yes",'Data Tables'!AE29,'Data Tables'!AF29),IF($K$14="750-800",IF($K$15="Yes",'Data Tables'!AE29,'Data Tables'!AF29),IF($K$14="800-850",IF($K$15="Yes",'Data Tables'!AE29,'Data Tables'!AF29),IF($K$15="Yes",'Data Tables'!AE29,'Data Tables'!AF29)))))))))),IF($K$13="Impermeable - drained for arable",IF($K$14="550-575",IF($K$15="Yes",'Data Tables'!U29,'Data Tables'!V29),IF($K$14="575-600",IF($K$15="Yes",'Data Tables'!U29,'Data Tables'!V29),IF($K$14="600-625",IF($K$15="Yes",'Data Tables'!AA29,'Data Tables'!AB29),IF($K$14="625-650",IF($K$15="Yes",'Data Tables'!AA29,'Data Tables'!AB29),IF($K$14="650-675",IF($K$15="Yes",'Data Tables'!AA29,'Data Tables'!AB29),IF($K$14="675-700",IF($K$15="Yes",'Data Tables'!AA29,'Data Tables'!AB29),IF($K$14="700-750",IF($K$15="Yes",'Data Tables'!AG29,'Data Tables'!AH29),IF($K$14="750-800",IF($K$15="Yes",'Data Tables'!AG29,'Data Tables'!AH29),IF($K$14="800-850",IF($K$15="Yes",'Data Tables'!AG29,'Data Tables'!AH29),IF($K$15="Yes",'Data Tables'!AG29,'Data Tables'!AH29)))))))))),IF($K$14="550-575",IF($K$15="Yes",'Data Tables'!W29,'Data Tables'!X29),IF($K$14="575-600",IF($K$15="Yes",'Data Tables'!W29,'Data Tables'!X29),IF($K$14="600-625",IF($K$15="Yes",'Data Tables'!AC29,'Data Tables'!AD29),IF($K$14="625-650",IF($K$15="Yes",'Data Tables'!AC29,'Data Tables'!AD29),IF($K$14="650-675",IF($K$15="Yes",'Data Tables'!AC29,'Data Tables'!AD29),IF($K$14="675-700",IF($K$15="Yes",'Data Tables'!AC29,'Data Tables'!AD29),IF($K$14="700-750",IF($K$15="Yes",'Data Tables'!AI29,'Data Tables'!AJ29),IF($K$14="750-800",IF($K$15="Yes",'Data Tables'!AI29,'Data Tables'!AJ29),IF($K$14="800-850",IF($K$15="Yes",'Data Tables'!AI29,'Data Tables'!AJ29),IF($K$15="Yes",'Data Tables'!AI29,'Data Tables'!AJ29))))))))))))))))</f>
        <v>0</v>
      </c>
      <c r="P29" s="284"/>
      <c r="Q29" s="287">
        <f>IF($K$12="Wensum",($K29*(IF($K$13="Freely draining",IF($K$14="550-575",IF($K$15="Yes",'Data Tables'!AM7,'Data Tables'!AN7),IF($K$14="575-600",IF($K$15="Yes",'Data Tables'!AM7,'Data Tables'!AN7),IF($K$14="600-625",IF($K$15="Yes",'Data Tables'!AS7,'Data Tables'!AT7),IF($K$14="625-650",IF($K$15="Yes",'Data Tables'!AS7,'Data Tables'!AT7),IF($K$14="650-675",IF($K$15="Yes",'Data Tables'!AS7,'Data Tables'!AT7),IF($K$14="675-700",IF($K$15="Yes",'Data Tables'!AS7,'Data Tables'!AT7),IF($K$14="700-750",IF($K$15="Yes",'Data Tables'!AY7,'Data Tables'!AZ7),IF($K$14="750-800",IF($K$15="Yes",'Data Tables'!AY7,'Data Tables'!AZ7),IF($K$14="800-850",IF($K$15="Yes",'Data Tables'!AY7,'Data Tables'!AZ7),IF($K$15="Yes",'Data Tables'!AS7,'Data Tables'!AT7)))))))))),IF($K$13="Impermeable - drained for arable",IF($K$14="550-575",IF($K$15="Yes",'Data Tables'!AO7,'Data Tables'!AP7),IF($K$14="575-600",IF($K$15="Yes",'Data Tables'!AO7,'Data Tables'!AP7),IF($K$14="600-625",IF($K$15="Yes",'Data Tables'!AU7,'Data Tables'!AV7),IF($K$14="625-650",IF($K$15="Yes",'Data Tables'!AU7,'Data Tables'!AV7),IF($K$14="650-675",IF($K$15="Yes",'Data Tables'!AU7,'Data Tables'!AV7),IF($K$14="675-700",IF($K$15="Yes",'Data Tables'!AU7,'Data Tables'!AV7),IF($K$14="700-750",IF($K$15="Yes",'Data Tables'!BA7,'Data Tables'!BB7),IF($K$14="750-800",IF($K$15="Yes",'Data Tables'!BA7,'Data Tables'!BB7),IF($K$14="800-850",IF($K$15="Yes",'Data Tables'!BA7,'Data Tables'!BB7),IF($K$15="Yes",'Data Tables'!BA7,'Data Tables'!BB7)))))))))),IF($K$14="550-575",IF($K$15="Yes",'Data Tables'!AQ7,'Data Tables'!AR7),IF($K$14="575-600",IF($K$15="Yes",'Data Tables'!AQ7,'Data Tables'!AR7),IF($K$14="600-625",IF($K$15="Yes",'Data Tables'!AW7,'Data Tables'!AX7),IF($K$14="625-650",IF($K$15="Yes",'Data Tables'!AW7,'Data Tables'!AX7),IF($K$14="650-675",IF($K$15="Yes",'Data Tables'!AW7,'Data Tables'!AX7),IF($K$14="675-700",IF($K$15="Yes",'Data Tables'!AW7,'Data Tables'!AX7),IF($K$14="700-750",IF($K$15="Yes",'Data Tables'!BC7,'Data Tables'!BD7),IF($K$14="750-800",IF($K$15="Yes",'Data Tables'!BC7,'Data Tables'!BD7),IF($K$14="800-850",IF($K$15="Yes",'Data Tables'!BC7,'Data Tables'!BD7),IF($K$15="Yes",'Data Tables'!BC7,'Data Tables'!BD7)))))))))))))),IF($K$12="Yare",($K29*(IF($K$13="Freely draining",IF($K$14="550-575",IF($K$15="Yes",'Data Tables'!AM18,'Data Tables'!AN18),IF($K$14="575-600",IF($K$15="Yes",'Data Tables'!AM18,'Data Tables'!AN18),IF($K$14="600-625",IF($K$15="Yes",'Data Tables'!AS18,'Data Tables'!AT18),IF($K$14="625-650",IF($K$15="Yes",'Data Tables'!AS18,'Data Tables'!AT18),IF($K$14="650-675",IF($K$15="Yes",'Data Tables'!AS18,'Data Tables'!AT18),IF($K$14="675-700",IF($K$15="Yes",'Data Tables'!AS18,'Data Tables'!AT18),IF($K$14="700-750",IF($K$15="Yes",'Data Tables'!AY18,'Data Tables'!AZ18),IF($K$14="750-800",IF($K$15="Yes",'Data Tables'!AY18,'Data Tables'!AZ18),IF($K$14="800-850",IF($K$15="Yes",'Data Tables'!AY18,'Data Tables'!AZ18),IF($K$15="Yes",'Data Tables'!AY18,'Data Tables'!AZ18)))))))))),IF($K$13="Impermeable - drained for arable",IF($K$14="550-575",IF($K$15="Yes",'Data Tables'!AO18,'Data Tables'!AP18),IF($K$14="575-600",IF($K$15="Yes",'Data Tables'!AO18,'Data Tables'!AP18),IF($K$14="600-625",IF($K$15="Yes",'Data Tables'!AU18,'Data Tables'!AV18),IF($K$14="625-650",IF($K$15="Yes",'Data Tables'!AU18,'Data Tables'!AV18),IF($K$14="650-675",IF($K$15="Yes",'Data Tables'!AU18,'Data Tables'!AV18),IF($K$14="675-700",IF($K$15="Yes",'Data Tables'!AU18,'Data Tables'!AV18),IF($K$14="700-750",IF($K$15="Yes",'Data Tables'!BA18,'Data Tables'!BB18),IF($K$14="750-800",IF($K$15="Yes",'Data Tables'!BA18,'Data Tables'!BB18),IF($K$14="800-850",IF($K$15="Yes",'Data Tables'!BA18,'Data Tables'!BB18),IF($K$15="Yes",'Data Tables'!BA18,'Data Tables'!BB18)))))))))),IF($K$14="550-575",IF($K$15="Yes",'Data Tables'!AQ18,'Data Tables'!AR18),IF($K$14="575-600",IF($K$15="Yes",'Data Tables'!AQ18,'Data Tables'!AR18),IF($K$14="600-625",IF($K$15="Yes",'Data Tables'!AW18,'Data Tables'!AX18),IF($K$14="625-650",IF($K$15="Yes",'Data Tables'!AW18,'Data Tables'!AX18),IF($K$14="650-675",IF($K$15="Yes",'Data Tables'!AW18,'Data Tables'!AX18),IF($K$14="675-700",IF($K$15="Yes",'Data Tables'!AW18,'Data Tables'!AX18),IF($K$14="700-750",IF($K$15="Yes",'Data Tables'!BC18,'Data Tables'!BD18),IF($K$14="750-800",IF($K$15="Yes",'Data Tables'!BC18,'Data Tables'!BD18),IF($K$14="800-850",IF($K$15="Yes",'Data Tables'!BC18,'Data Tables'!BD18),IF($K$15="Yes",'Data Tables'!BC18,'Data Tables'!BD18)))))))))))))),($K29*(IF($K$13="Freely draining",IF($K$14="550-575",IF($K$15="Yes",'Data Tables'!AM29,'Data Tables'!AN29),IF($K$14="575-600",IF($K$15="Yes",'Data Tables'!AM29,'Data Tables'!AN29),IF($K$14="600-625",IF($K$15="Yes",'Data Tables'!AS29,'Data Tables'!AT29),IF($K$14="625-650",IF($K$15="Yes",'Data Tables'!AS29,'Data Tables'!AT29),IF($K$14="650-675",IF($K$15="Yes",'Data Tables'!AS29,'Data Tables'!AT29),IF($K$14="675-700",IF($K$15="Yes",'Data Tables'!AS29,'Data Tables'!AT29),IF($K$14="700-750",IF($K$15="Yes",'Data Tables'!AY29,'Data Tables'!AZ29),IF($K$14="750-800",IF($K$15="Yes",'Data Tables'!AY29,'Data Tables'!AZ29),IF($K$14="800-850",IF($K$15="Yes",'Data Tables'!AY29,'Data Tables'!AZ29),IF($K$15="Yes",'Data Tables'!AY29,'Data Tables'!AZ29)))))))))),IF($K$13="Impermeable - drained for arable",IF($K$14="550-575",IF($K$15="Yes",'Data Tables'!AO29,'Data Tables'!AP29),IF($K$14="575-600",IF($K$15="Yes",'Data Tables'!AO29,'Data Tables'!AP29),IF($K$14="600-625",IF($K$15="Yes",'Data Tables'!AU29,'Data Tables'!AV29),IF($K$14="625-650",IF($K$15="Yes",'Data Tables'!AU29,'Data Tables'!AV29),IF($K$14="650-675",IF($K$15="Yes",'Data Tables'!AU29,'Data Tables'!AV29),IF($K$14="675-700",IF($K$15="Yes",'Data Tables'!AU29,'Data Tables'!AV29),IF($K$14="700-750",IF($K$15="Yes",'Data Tables'!BA29,'Data Tables'!BB29),IF($K$14="750-800",IF($K$15="Yes",'Data Tables'!BA29,'Data Tables'!BB29),IF($K$14="800-850",IF($K$15="Yes",'Data Tables'!BA29,'Data Tables'!BB29),IF($K$15="Yes",'Data Tables'!BA29,'Data Tables'!BB29)))))))))),IF($K$14="550-575",IF($K$15="Yes",'Data Tables'!AQ29,'Data Tables'!AR29),IF($K$14="575-600",IF($K$15="Yes",'Data Tables'!AQ29,'Data Tables'!AR29),IF($K$14="600-625",IF($K$15="Yes",'Data Tables'!AW29,'Data Tables'!AX29),IF($K$14="625-650",IF($K$15="Yes",'Data Tables'!AW29,'Data Tables'!AX29),IF($K$14="650-675",IF($K$15="Yes",'Data Tables'!AW29,'Data Tables'!AX29),IF($K$14="675-700",IF($K$15="Yes",'Data Tables'!AW29,'Data Tables'!AX29),IF($K$14="700-750",IF($K$15="Yes",'Data Tables'!BC29,'Data Tables'!BD29),IF($K$14="750-800",IF($K$15="Yes",'Data Tables'!BC29,'Data Tables'!BD29),IF($K$14="800-850",IF($K$15="Yes",'Data Tables'!BC29,'Data Tables'!BD29),IF($K$15="Yes",'Data Tables'!BC29,'Data Tables'!BD29))))))))))))))))</f>
        <v>0</v>
      </c>
      <c r="R29" s="288"/>
      <c r="S29" s="49" t="s">
        <v>391</v>
      </c>
      <c r="T29" s="6"/>
      <c r="W29" s="113"/>
      <c r="X29" s="113"/>
      <c r="Y29" s="113"/>
      <c r="Z29" s="113"/>
      <c r="AA29" s="113"/>
      <c r="AB29" s="113"/>
      <c r="AC29" s="113"/>
      <c r="AD29" s="113"/>
      <c r="AE29" s="113"/>
      <c r="AF29" s="113"/>
      <c r="AG29" s="113"/>
      <c r="AH29" s="113"/>
      <c r="AI29" s="113"/>
      <c r="AJ29" s="113"/>
      <c r="AK29" s="113"/>
      <c r="AL29" s="113"/>
      <c r="AM29" s="113"/>
      <c r="AN29" s="113"/>
      <c r="AO29" s="113"/>
      <c r="AQ29" s="113"/>
      <c r="AR29" s="113"/>
      <c r="AS29" s="113"/>
      <c r="AT29" s="113"/>
      <c r="AU29" s="113"/>
      <c r="AV29" s="113"/>
      <c r="AW29" s="113"/>
      <c r="AX29" s="113"/>
      <c r="AY29" s="113"/>
      <c r="AZ29" s="113"/>
      <c r="BA29" s="113"/>
      <c r="BB29" s="113"/>
      <c r="BC29" s="113"/>
    </row>
    <row r="30" spans="2:55" ht="14.55" customHeight="1" x14ac:dyDescent="0.3">
      <c r="B30" s="4"/>
      <c r="C30" s="42"/>
      <c r="D30" s="227"/>
      <c r="E30" s="49"/>
      <c r="F30" s="445" t="s">
        <v>247</v>
      </c>
      <c r="G30" s="445"/>
      <c r="H30" s="445"/>
      <c r="I30" s="445"/>
      <c r="J30" s="445"/>
      <c r="K30" s="282"/>
      <c r="L30" s="240" t="s">
        <v>17</v>
      </c>
      <c r="M30" s="49"/>
      <c r="N30" s="49"/>
      <c r="O30" s="287">
        <f>IF($K$12="Wensum",($K30*(IF($K$13="Freely draining",IF($K$14="550-575",IF($K$15="Yes",'Data Tables'!S8,'Data Tables'!T8),IF($K$14="575-600",IF($K$15="Yes",'Data Tables'!S8,'Data Tables'!T8),IF($K$14="600-625",IF($K$15="Yes",'Data Tables'!Y8,'Data Tables'!Z8),IF($K$14="625-650",IF($K$15="Yes",'Data Tables'!Y8,'Data Tables'!Z8),IF($K$14="650-675",IF($K$15="Yes",'Data Tables'!Y8,'Data Tables'!Z8),IF($K$14="675-700",IF($K$15="Yes",'Data Tables'!Y8,'Data Tables'!Z8),IF($K$14="700-750",IF($K$15="Yes",'Data Tables'!AE8,'Data Tables'!AF8),IF($K$14="750-800",IF($K$15="Yes",'Data Tables'!AE8,'Data Tables'!AF8),IF($K$14="800-850",IF($K$15="Yes",'Data Tables'!AE8,'Data Tables'!AF8),IF($K$15="Yes",'Data Tables'!Y8,'Data Tables'!Z8)))))))))),IF($K$13="Impermeable - drained for arable",IF($K$14="550-575",IF($K$15="Yes",'Data Tables'!U8,'Data Tables'!V8),IF($K$14="575-600",IF($K$15="Yes",'Data Tables'!U8,'Data Tables'!V8),IF($K$14="600-625",IF($K$15="Yes",'Data Tables'!AA8,'Data Tables'!AB8),IF($K$14="625-650",IF($K$15="Yes",'Data Tables'!AA8,'Data Tables'!AB8),IF($K$14="650-675",IF($K$15="Yes",'Data Tables'!AA8,'Data Tables'!AB8),IF($K$14="675-700",IF($K$15="Yes",'Data Tables'!AA8,'Data Tables'!AB8),IF($K$14="700-750",IF($K$15="Yes",'Data Tables'!AG8,'Data Tables'!AH8),IF($K$14="750-800",IF($K$15="Yes",'Data Tables'!AG8,'Data Tables'!AH8),IF($K$14="800-850",IF($K$15="Yes",'Data Tables'!AG8,'Data Tables'!AH8),IF($K$15="Yes",'Data Tables'!AG8,'Data Tables'!AH8)))))))))),IF($K$14="550-575",IF($K$15="Yes",'Data Tables'!W8,'Data Tables'!X8),IF($K$14="575-600",IF($K$15="Yes",'Data Tables'!W8,'Data Tables'!X8),IF($K$14="600-625",IF($K$15="Yes",'Data Tables'!AC8,'Data Tables'!AD8),IF($K$14="625-650",IF($K$15="Yes",'Data Tables'!AC8,'Data Tables'!AD8),IF($K$14="650-675",IF($K$15="Yes",'Data Tables'!AC8,'Data Tables'!AD8),IF($K$14="675-700",IF($K$15="Yes",'Data Tables'!AC8,'Data Tables'!AD8),IF($K$14="700-750",IF($K$15="Yes",'Data Tables'!AI8,'Data Tables'!AJ8),IF($K$14="750-800",IF($K$15="Yes",'Data Tables'!AI8,'Data Tables'!AJ8),IF($K$14="800-850",IF($K$15="Yes",'Data Tables'!AI8,'Data Tables'!AJ8),IF($K$15="Yes",'Data Tables'!AI8,'Data Tables'!AJ8)))))))))))))),IF($K$12="Yare",($K30*(IF($K$13="Freely draining",IF($K$14="550-575",IF($K$15="Yes",'Data Tables'!S19,'Data Tables'!T19),IF($K$14="575-600",IF($K$15="Yes",'Data Tables'!S19,'Data Tables'!T19),IF($K$14="600-625",IF($K$15="Yes",'Data Tables'!Y19,'Data Tables'!Z19),IF($K$14="625-650",IF($K$15="Yes",'Data Tables'!Y19,'Data Tables'!Z19),IF($K$14="650-675",IF($K$15="Yes",'Data Tables'!Y19,'Data Tables'!Z19),IF($K$14="675-700",IF($K$15="Yes",'Data Tables'!Y19,'Data Tables'!Z19),IF($K$14="700-750",IF($K$15="Yes",'Data Tables'!AE19,'Data Tables'!AF19),IF($K$14="750-800",IF($K$15="Yes",'Data Tables'!AE19,'Data Tables'!AF19),IF($K$14="800-850",IF($K$15="Yes",'Data Tables'!AE19,'Data Tables'!AF19),IF($K$15="Yes",'Data Tables'!AE19,'Data Tables'!AF19)))))))))),IF($K$13="Impermeable - drained for arable",IF($K$14="550-575",IF($K$15="Yes",'Data Tables'!U19,'Data Tables'!V19),IF($K$14="575-600",IF($K$15="Yes",'Data Tables'!U19,'Data Tables'!V19),IF($K$14="600-625",IF($K$15="Yes",'Data Tables'!AA19,'Data Tables'!AB19),IF($K$14="625-650",IF($K$15="Yes",'Data Tables'!AA19,'Data Tables'!AB19),IF($K$14="650-675",IF($K$15="Yes",'Data Tables'!AA19,'Data Tables'!AB19),IF($K$14="675-700",IF($K$15="Yes",'Data Tables'!AA19,'Data Tables'!AB19),IF($K$14="700-750",IF($K$15="Yes",'Data Tables'!AG19,'Data Tables'!AH19),IF($K$14="750-800",IF($K$15="Yes",'Data Tables'!AG19,'Data Tables'!AH19),IF($K$14="800-850",IF($K$15="Yes",'Data Tables'!AG19,'Data Tables'!AH19),IF($K$15="Yes",'Data Tables'!AG19,'Data Tables'!AH19)))))))))),IF($K$14="550-575",IF($K$15="Yes",'Data Tables'!W19,'Data Tables'!X19),IF($K$14="575-600",IF($K$15="Yes",'Data Tables'!W19,'Data Tables'!X19),IF($K$14="600-625",IF($K$15="Yes",'Data Tables'!AC19,'Data Tables'!AD19),IF($K$14="625-650",IF($K$15="Yes",'Data Tables'!AC19,'Data Tables'!AD19),IF($K$14="650-675",IF($K$15="Yes",'Data Tables'!AC19,'Data Tables'!AD19),IF($K$14="675-700",IF($K$15="Yes",'Data Tables'!AC19,'Data Tables'!AD19),IF($K$14="700-750",IF($K$15="Yes",'Data Tables'!AI19,'Data Tables'!AJ19),IF($K$14="750-800",IF($K$15="Yes",'Data Tables'!AI19,'Data Tables'!AJ19),IF($K$14="800-850",IF($K$15="Yes",'Data Tables'!AI19,'Data Tables'!AJ19),IF($K$15="Yes",'Data Tables'!AI19,'Data Tables'!AJ19)))))))))))))),($K30*(IF($K$13="Freely draining",IF($K$14="550-575",IF($K$15="Yes",'Data Tables'!S30,'Data Tables'!T30),IF($K$14="575-600",IF($K$15="Yes",'Data Tables'!S30,'Data Tables'!T30),IF($K$14="600-625",IF($K$15="Yes",'Data Tables'!Y30,'Data Tables'!Z30),IF($K$14="625-650",IF($K$15="Yes",'Data Tables'!Y30,'Data Tables'!Z30),IF($K$14="650-675",IF($K$15="Yes",'Data Tables'!Y30,'Data Tables'!Z30),IF($K$14="675-700",IF($K$15="Yes",'Data Tables'!Y30,'Data Tables'!Z30),IF($K$14="700-750",IF($K$15="Yes",'Data Tables'!AE30,'Data Tables'!AF30),IF($K$14="750-800",IF($K$15="Yes",'Data Tables'!AE30,'Data Tables'!AF30),IF($K$14="800-850",IF($K$15="Yes",'Data Tables'!AE30,'Data Tables'!AF30),IF($K$15="Yes",'Data Tables'!AE30,'Data Tables'!AF30)))))))))),IF($K$13="Impermeable - drained for arable",IF($K$14="550-575",IF($K$15="Yes",'Data Tables'!U30,'Data Tables'!V30),IF($K$14="575-600",IF($K$15="Yes",'Data Tables'!U30,'Data Tables'!V30),IF($K$14="600-625",IF($K$15="Yes",'Data Tables'!AA30,'Data Tables'!AB30),IF($K$14="625-650",IF($K$15="Yes",'Data Tables'!AA30,'Data Tables'!AB30),IF($K$14="650-675",IF($K$15="Yes",'Data Tables'!AA30,'Data Tables'!AB30),IF($K$14="675-700",IF($K$15="Yes",'Data Tables'!AA30,'Data Tables'!AB30),IF($K$14="700-750",IF($K$15="Yes",'Data Tables'!AG30,'Data Tables'!AH30),IF($K$14="750-800",IF($K$15="Yes",'Data Tables'!AG30,'Data Tables'!AH30),IF($K$14="800-850",IF($K$15="Yes",'Data Tables'!AG30,'Data Tables'!AH30),IF($K$15="Yes",'Data Tables'!AG30,'Data Tables'!AH30)))))))))),IF($K$14="550-575",IF($K$15="Yes",'Data Tables'!W30,'Data Tables'!X30),IF($K$14="575-600",IF($K$15="Yes",'Data Tables'!W30,'Data Tables'!X30),IF($K$14="600-625",IF($K$15="Yes",'Data Tables'!AC30,'Data Tables'!AD30),IF($K$14="625-650",IF($K$15="Yes",'Data Tables'!AC30,'Data Tables'!AD30),IF($K$14="650-675",IF($K$15="Yes",'Data Tables'!AC30,'Data Tables'!AD30),IF($K$14="675-700",IF($K$15="Yes",'Data Tables'!AC30,'Data Tables'!AD30),IF($K$14="700-750",IF($K$15="Yes",'Data Tables'!AI30,'Data Tables'!AJ30),IF($K$14="750-800",IF($K$15="Yes",'Data Tables'!AI30,'Data Tables'!AJ30),IF($K$14="800-850",IF($K$15="Yes",'Data Tables'!AI30,'Data Tables'!AJ30),IF($K$15="Yes",'Data Tables'!AI30,'Data Tables'!AJ30))))))))))))))))</f>
        <v>0</v>
      </c>
      <c r="P30" s="284"/>
      <c r="Q30" s="287">
        <f>IF($K$12="Wensum",($K30*(IF($K$13="Freely draining",IF($K$14="550-575",IF($K$15="Yes",'Data Tables'!AM8,'Data Tables'!AN8),IF($K$14="575-600",IF($K$15="Yes",'Data Tables'!AM8,'Data Tables'!AN8),IF($K$14="600-625",IF($K$15="Yes",'Data Tables'!AS8,'Data Tables'!AT8),IF($K$14="625-650",IF($K$15="Yes",'Data Tables'!AS8,'Data Tables'!AT8),IF($K$14="650-675",IF($K$15="Yes",'Data Tables'!AS8,'Data Tables'!AT8),IF($K$14="675-700",IF($K$15="Yes",'Data Tables'!AS8,'Data Tables'!AT8),IF($K$14="700-750",IF($K$15="Yes",'Data Tables'!AY8,'Data Tables'!AZ8),IF($K$14="750-800",IF($K$15="Yes",'Data Tables'!AY8,'Data Tables'!AZ8),IF($K$14="800-850",IF($K$15="Yes",'Data Tables'!AY8,'Data Tables'!AZ8),IF($K$15="Yes",'Data Tables'!AS8,'Data Tables'!AT8)))))))))),IF($K$13="Impermeable - drained for arable",IF($K$14="550-575",IF($K$15="Yes",'Data Tables'!AO8,'Data Tables'!AP8),IF($K$14="575-600",IF($K$15="Yes",'Data Tables'!AO8,'Data Tables'!AP8),IF($K$14="600-625",IF($K$15="Yes",'Data Tables'!AU8,'Data Tables'!AV8),IF($K$14="625-650",IF($K$15="Yes",'Data Tables'!AU8,'Data Tables'!AV8),IF($K$14="650-675",IF($K$15="Yes",'Data Tables'!AU8,'Data Tables'!AV8),IF($K$14="675-700",IF($K$15="Yes",'Data Tables'!AU8,'Data Tables'!AV8),IF($K$14="700-750",IF($K$15="Yes",'Data Tables'!BA8,'Data Tables'!BB8),IF($K$14="750-800",IF($K$15="Yes",'Data Tables'!BA8,'Data Tables'!BB8),IF($K$14="800-850",IF($K$15="Yes",'Data Tables'!BA8,'Data Tables'!BB8),IF($K$15="Yes",'Data Tables'!BA8,'Data Tables'!BB8)))))))))),IF($K$14="550-575",IF($K$15="Yes",'Data Tables'!AQ8,'Data Tables'!AR8),IF($K$14="575-600",IF($K$15="Yes",'Data Tables'!AQ8,'Data Tables'!AR8),IF($K$14="600-625",IF($K$15="Yes",'Data Tables'!AW8,'Data Tables'!AX8),IF($K$14="625-650",IF($K$15="Yes",'Data Tables'!AW8,'Data Tables'!AX8),IF($K$14="650-675",IF($K$15="Yes",'Data Tables'!AW8,'Data Tables'!AX8),IF($K$14="675-700",IF($K$15="Yes",'Data Tables'!AW8,'Data Tables'!AX8),IF($K$14="700-750",IF($K$15="Yes",'Data Tables'!BC8,'Data Tables'!BD8),IF($K$14="750-800",IF($K$15="Yes",'Data Tables'!BC8,'Data Tables'!BD8),IF($K$14="800-850",IF($K$15="Yes",'Data Tables'!BC8,'Data Tables'!BD8),IF($K$15="Yes",'Data Tables'!BC8,'Data Tables'!BD8)))))))))))))),IF($K$12="Yare",($K30*(IF($K$13="Freely draining",IF($K$14="550-575",IF($K$15="Yes",'Data Tables'!AM19,'Data Tables'!AN19),IF($K$14="575-600",IF($K$15="Yes",'Data Tables'!AM19,'Data Tables'!AN19),IF($K$14="600-625",IF($K$15="Yes",'Data Tables'!AS19,'Data Tables'!AT19),IF($K$14="625-650",IF($K$15="Yes",'Data Tables'!AS19,'Data Tables'!AT19),IF($K$14="650-675",IF($K$15="Yes",'Data Tables'!AS19,'Data Tables'!AT19),IF($K$14="675-700",IF($K$15="Yes",'Data Tables'!AS19,'Data Tables'!AT19),IF($K$14="700-750",IF($K$15="Yes",'Data Tables'!AY19,'Data Tables'!AZ19),IF($K$14="750-800",IF($K$15="Yes",'Data Tables'!AY19,'Data Tables'!AZ19),IF($K$14="800-850",IF($K$15="Yes",'Data Tables'!AY19,'Data Tables'!AZ19),IF($K$15="Yes",'Data Tables'!AY19,'Data Tables'!AZ19)))))))))),IF($K$13="Impermeable - drained for arable",IF($K$14="550-575",IF($K$15="Yes",'Data Tables'!AO19,'Data Tables'!AP19),IF($K$14="575-600",IF($K$15="Yes",'Data Tables'!AO19,'Data Tables'!AP19),IF($K$14="600-625",IF($K$15="Yes",'Data Tables'!AU19,'Data Tables'!AV19),IF($K$14="625-650",IF($K$15="Yes",'Data Tables'!AU19,'Data Tables'!AV19),IF($K$14="650-675",IF($K$15="Yes",'Data Tables'!AU19,'Data Tables'!AV19),IF($K$14="675-700",IF($K$15="Yes",'Data Tables'!AU19,'Data Tables'!AV19),IF($K$14="700-750",IF($K$15="Yes",'Data Tables'!BA19,'Data Tables'!BB19),IF($K$14="750-800",IF($K$15="Yes",'Data Tables'!BA19,'Data Tables'!BB19),IF($K$14="800-850",IF($K$15="Yes",'Data Tables'!BA19,'Data Tables'!BB19),IF($K$15="Yes",'Data Tables'!BA19,'Data Tables'!BB19)))))))))),IF($K$14="550-575",IF($K$15="Yes",'Data Tables'!AQ19,'Data Tables'!AR19),IF($K$14="575-600",IF($K$15="Yes",'Data Tables'!AQ19,'Data Tables'!AR19),IF($K$14="600-625",IF($K$15="Yes",'Data Tables'!AW19,'Data Tables'!AX19),IF($K$14="625-650",IF($K$15="Yes",'Data Tables'!AW19,'Data Tables'!AX19),IF($K$14="650-675",IF($K$15="Yes",'Data Tables'!AW19,'Data Tables'!AX19),IF($K$14="675-700",IF($K$15="Yes",'Data Tables'!AW19,'Data Tables'!AX19),IF($K$14="700-750",IF($K$15="Yes",'Data Tables'!BC19,'Data Tables'!BD19),IF($K$14="750-800",IF($K$15="Yes",'Data Tables'!BC19,'Data Tables'!BD19),IF($K$14="800-850",IF($K$15="Yes",'Data Tables'!BC19,'Data Tables'!BD19),IF($K$15="Yes",'Data Tables'!BC19,'Data Tables'!BD19)))))))))))))),($K30*(IF($K$13="Freely draining",IF($K$14="550-575",IF($K$15="Yes",'Data Tables'!AM30,'Data Tables'!AN30),IF($K$14="575-600",IF($K$15="Yes",'Data Tables'!AM30,'Data Tables'!AN30),IF($K$14="600-625",IF($K$15="Yes",'Data Tables'!AS30,'Data Tables'!AT30),IF($K$14="625-650",IF($K$15="Yes",'Data Tables'!AS30,'Data Tables'!AT30),IF($K$14="650-675",IF($K$15="Yes",'Data Tables'!AS30,'Data Tables'!AT30),IF($K$14="675-700",IF($K$15="Yes",'Data Tables'!AS30,'Data Tables'!AT30),IF($K$14="700-750",IF($K$15="Yes",'Data Tables'!AY30,'Data Tables'!AZ30),IF($K$14="750-800",IF($K$15="Yes",'Data Tables'!AY30,'Data Tables'!AZ30),IF($K$14="800-850",IF($K$15="Yes",'Data Tables'!AY30,'Data Tables'!AZ30),IF($K$15="Yes",'Data Tables'!AY30,'Data Tables'!AZ30)))))))))),IF($K$13="Impermeable - drained for arable",IF($K$14="550-575",IF($K$15="Yes",'Data Tables'!AO30,'Data Tables'!AP30),IF($K$14="575-600",IF($K$15="Yes",'Data Tables'!AO30,'Data Tables'!AP30),IF($K$14="600-625",IF($K$15="Yes",'Data Tables'!AU30,'Data Tables'!AV30),IF($K$14="625-650",IF($K$15="Yes",'Data Tables'!AU30,'Data Tables'!AV30),IF($K$14="650-675",IF($K$15="Yes",'Data Tables'!AU30,'Data Tables'!AV30),IF($K$14="675-700",IF($K$15="Yes",'Data Tables'!AU30,'Data Tables'!AV30),IF($K$14="700-750",IF($K$15="Yes",'Data Tables'!BA30,'Data Tables'!BB30),IF($K$14="750-800",IF($K$15="Yes",'Data Tables'!BA30,'Data Tables'!BB30),IF($K$14="800-850",IF($K$15="Yes",'Data Tables'!BA30,'Data Tables'!BB30),IF($K$15="Yes",'Data Tables'!BA30,'Data Tables'!BB30)))))))))),IF($K$14="550-575",IF($K$15="Yes",'Data Tables'!AQ30,'Data Tables'!AR30),IF($K$14="575-600",IF($K$15="Yes",'Data Tables'!AQ30,'Data Tables'!AR30),IF($K$14="600-625",IF($K$15="Yes",'Data Tables'!AW30,'Data Tables'!AX30),IF($K$14="625-650",IF($K$15="Yes",'Data Tables'!AW30,'Data Tables'!AX30),IF($K$14="650-675",IF($K$15="Yes",'Data Tables'!AW30,'Data Tables'!AX30),IF($K$14="675-700",IF($K$15="Yes",'Data Tables'!AW30,'Data Tables'!AX30),IF($K$14="700-750",IF($K$15="Yes",'Data Tables'!BC30,'Data Tables'!BD30),IF($K$14="750-800",IF($K$15="Yes",'Data Tables'!BC30,'Data Tables'!BD30),IF($K$14="800-850",IF($K$15="Yes",'Data Tables'!BC30,'Data Tables'!BD30),IF($K$15="Yes",'Data Tables'!BC30,'Data Tables'!BD30))))))))))))))))</f>
        <v>0</v>
      </c>
      <c r="R30" s="288"/>
      <c r="S30" s="49" t="s">
        <v>391</v>
      </c>
      <c r="T30" s="6"/>
      <c r="W30" s="113"/>
      <c r="X30" s="113"/>
      <c r="Y30" s="113"/>
      <c r="Z30" s="113"/>
      <c r="AA30" s="113"/>
      <c r="AB30" s="113"/>
      <c r="AC30" s="113"/>
      <c r="AD30" s="113"/>
      <c r="AE30" s="113"/>
      <c r="AF30" s="113"/>
      <c r="AG30" s="113"/>
      <c r="AH30" s="113"/>
      <c r="AI30" s="113"/>
      <c r="AJ30" s="113"/>
      <c r="AK30" s="113"/>
      <c r="AL30" s="113"/>
      <c r="AM30" s="113"/>
      <c r="AN30" s="113"/>
      <c r="AO30" s="113"/>
      <c r="AQ30" s="113"/>
      <c r="AR30" s="113"/>
      <c r="AS30" s="113"/>
      <c r="AT30" s="113"/>
      <c r="AU30" s="113"/>
      <c r="AV30" s="113"/>
      <c r="AW30" s="113"/>
      <c r="AX30" s="113"/>
      <c r="AY30" s="113"/>
      <c r="AZ30" s="113"/>
      <c r="BA30" s="113"/>
      <c r="BB30" s="113"/>
      <c r="BC30" s="113"/>
    </row>
    <row r="31" spans="2:55" ht="14.55" customHeight="1" x14ac:dyDescent="0.3">
      <c r="B31" s="4"/>
      <c r="C31" s="42"/>
      <c r="D31" s="227"/>
      <c r="E31" s="49"/>
      <c r="F31" s="445" t="s">
        <v>379</v>
      </c>
      <c r="G31" s="445"/>
      <c r="H31" s="445"/>
      <c r="I31" s="445"/>
      <c r="J31" s="445"/>
      <c r="K31" s="282"/>
      <c r="L31" s="240" t="s">
        <v>17</v>
      </c>
      <c r="M31" s="49"/>
      <c r="N31" s="49"/>
      <c r="O31" s="287">
        <f>IF($K$12="Wensum",($K31*(IF($K$13="Freely draining",IF($K$14="550-575",IF($K$15="Yes",'Data Tables'!S9,'Data Tables'!T9),IF($K$14="575-600",IF($K$15="Yes",'Data Tables'!S9,'Data Tables'!T9),IF($K$14="600-625",IF($K$15="Yes",'Data Tables'!Y9,'Data Tables'!Z9),IF($K$14="625-650",IF($K$15="Yes",'Data Tables'!Y9,'Data Tables'!Z9),IF($K$14="650-675",IF($K$15="Yes",'Data Tables'!Y9,'Data Tables'!Z9),IF($K$14="675-700",IF($K$15="Yes",'Data Tables'!Y9,'Data Tables'!Z9),IF($K$14="700-750",IF($K$15="Yes",'Data Tables'!AE9,'Data Tables'!AF9),IF($K$14="750-800",IF($K$15="Yes",'Data Tables'!AE9,'Data Tables'!AF9),IF($K$14="800-850",IF($K$15="Yes",'Data Tables'!AE9,'Data Tables'!AF9),IF($K$15="Yes",'Data Tables'!Y9,'Data Tables'!Z9)))))))))),IF($K$13="Impermeable - drained for arable",IF($K$14="550-575",IF($K$15="Yes",'Data Tables'!U9,'Data Tables'!V9),IF($K$14="575-600",IF($K$15="Yes",'Data Tables'!U9,'Data Tables'!V9),IF($K$14="600-625",IF($K$15="Yes",'Data Tables'!AA9,'Data Tables'!AB9),IF($K$14="625-650",IF($K$15="Yes",'Data Tables'!AA9,'Data Tables'!AB9),IF($K$14="650-675",IF($K$15="Yes",'Data Tables'!AA9,'Data Tables'!AB9),IF($K$14="675-700",IF($K$15="Yes",'Data Tables'!AA9,'Data Tables'!AB9),IF($K$14="700-750",IF($K$15="Yes",'Data Tables'!AG9,'Data Tables'!AH9),IF($K$14="750-800",IF($K$15="Yes",'Data Tables'!AG9,'Data Tables'!AH9),IF($K$14="800-850",IF($K$15="Yes",'Data Tables'!AG9,'Data Tables'!AH9),IF($K$15="Yes",'Data Tables'!AG9,'Data Tables'!AH9)))))))))),IF($K$14="550-575",IF($K$15="Yes",'Data Tables'!W9,'Data Tables'!X9),IF($K$14="575-600",IF($K$15="Yes",'Data Tables'!W9,'Data Tables'!X9),IF($K$14="600-625",IF($K$15="Yes",'Data Tables'!AC9,'Data Tables'!AD9),IF($K$14="625-650",IF($K$15="Yes",'Data Tables'!AC9,'Data Tables'!AD9),IF($K$14="650-675",IF($K$15="Yes",'Data Tables'!AC9,'Data Tables'!AD9),IF($K$14="675-700",IF($K$15="Yes",'Data Tables'!AC9,'Data Tables'!AD9),IF($K$14="700-750",IF($K$15="Yes",'Data Tables'!AI9,'Data Tables'!AJ9),IF($K$14="750-800",IF($K$15="Yes",'Data Tables'!AI9,'Data Tables'!AJ9),IF($K$14="800-850",IF($K$15="Yes",'Data Tables'!AI9,'Data Tables'!AJ9),IF($K$15="Yes",'Data Tables'!AI9,'Data Tables'!AJ9)))))))))))))),IF($K$12="Yare",($K31*(IF($K$13="Freely draining",IF($K$14="550-575",IF($K$15="Yes",'Data Tables'!S20,'Data Tables'!T20),IF($K$14="575-600",IF($K$15="Yes",'Data Tables'!S20,'Data Tables'!T20),IF($K$14="600-625",IF($K$15="Yes",'Data Tables'!Y20,'Data Tables'!Z20),IF($K$14="625-650",IF($K$15="Yes",'Data Tables'!Y20,'Data Tables'!Z20),IF($K$14="650-675",IF($K$15="Yes",'Data Tables'!Y20,'Data Tables'!Z20),IF($K$14="675-700",IF($K$15="Yes",'Data Tables'!Y20,'Data Tables'!Z20),IF($K$14="700-750",IF($K$15="Yes",'Data Tables'!AE20,'Data Tables'!AF20),IF($K$14="750-800",IF($K$15="Yes",'Data Tables'!AE20,'Data Tables'!AF20),IF($K$14="800-850",IF($K$15="Yes",'Data Tables'!AE20,'Data Tables'!AF20),IF($K$15="Yes",'Data Tables'!AE20,'Data Tables'!AF20)))))))))),IF($K$13="Impermeable - drained for arable",IF($K$14="550-575",IF($K$15="Yes",'Data Tables'!U20,'Data Tables'!V20),IF($K$14="575-600",IF($K$15="Yes",'Data Tables'!U20,'Data Tables'!V20),IF($K$14="600-625",IF($K$15="Yes",'Data Tables'!AA20,'Data Tables'!AB20),IF($K$14="625-650",IF($K$15="Yes",'Data Tables'!AA20,'Data Tables'!AB20),IF($K$14="650-675",IF($K$15="Yes",'Data Tables'!AA20,'Data Tables'!AB20),IF($K$14="675-700",IF($K$15="Yes",'Data Tables'!AA20,'Data Tables'!AB20),IF($K$14="700-750",IF($K$15="Yes",'Data Tables'!AG20,'Data Tables'!AH20),IF($K$14="750-800",IF($K$15="Yes",'Data Tables'!AG20,'Data Tables'!AH20),IF($K$14="800-850",IF($K$15="Yes",'Data Tables'!AG20,'Data Tables'!AH20),IF($K$15="Yes",'Data Tables'!AG20,'Data Tables'!AH20)))))))))),IF($K$14="550-575",IF($K$15="Yes",'Data Tables'!W20,'Data Tables'!X20),IF($K$14="575-600",IF($K$15="Yes",'Data Tables'!W20,'Data Tables'!X20),IF($K$14="600-625",IF($K$15="Yes",'Data Tables'!AC20,'Data Tables'!AD20),IF($K$14="625-650",IF($K$15="Yes",'Data Tables'!AC20,'Data Tables'!AD20),IF($K$14="650-675",IF($K$15="Yes",'Data Tables'!AC20,'Data Tables'!AD20),IF($K$14="675-700",IF($K$15="Yes",'Data Tables'!AC20,'Data Tables'!AD20),IF($K$14="700-750",IF($K$15="Yes",'Data Tables'!AI20,'Data Tables'!AJ20),IF($K$14="750-800",IF($K$15="Yes",'Data Tables'!AI20,'Data Tables'!AJ20),IF($K$14="800-850",IF($K$15="Yes",'Data Tables'!AI20,'Data Tables'!AJ20),IF($K$15="Yes",'Data Tables'!AI20,'Data Tables'!AJ20)))))))))))))),($K31*(IF($K$13="Freely draining",IF($K$14="550-575",IF($K$15="Yes",'Data Tables'!S31,'Data Tables'!T31),IF($K$14="575-600",IF($K$15="Yes",'Data Tables'!S31,'Data Tables'!T31),IF($K$14="600-625",IF($K$15="Yes",'Data Tables'!Y31,'Data Tables'!Z31),IF($K$14="625-650",IF($K$15="Yes",'Data Tables'!Y31,'Data Tables'!Z31),IF($K$14="650-675",IF($K$15="Yes",'Data Tables'!Y31,'Data Tables'!Z31),IF($K$14="675-700",IF($K$15="Yes",'Data Tables'!Y31,'Data Tables'!Z31),IF($K$14="700-750",IF($K$15="Yes",'Data Tables'!AE31,'Data Tables'!AF31),IF($K$14="750-800",IF($K$15="Yes",'Data Tables'!AE31,'Data Tables'!AF31),IF($K$14="800-850",IF($K$15="Yes",'Data Tables'!AE31,'Data Tables'!AF31),IF($K$15="Yes",'Data Tables'!AE31,'Data Tables'!AF31)))))))))),IF($K$13="Impermeable - drained for arable",IF($K$14="550-575",IF($K$15="Yes",'Data Tables'!U31,'Data Tables'!V31),IF($K$14="575-600",IF($K$15="Yes",'Data Tables'!U31,'Data Tables'!V31),IF($K$14="600-625",IF($K$15="Yes",'Data Tables'!AA31,'Data Tables'!AB31),IF($K$14="625-650",IF($K$15="Yes",'Data Tables'!AA31,'Data Tables'!AB31),IF($K$14="650-675",IF($K$15="Yes",'Data Tables'!AA31,'Data Tables'!AB31),IF($K$14="675-700",IF($K$15="Yes",'Data Tables'!AA31,'Data Tables'!AB31),IF($K$14="700-750",IF($K$15="Yes",'Data Tables'!AG31,'Data Tables'!AH31),IF($K$14="750-800",IF($K$15="Yes",'Data Tables'!AG31,'Data Tables'!AH31),IF($K$14="800-850",IF($K$15="Yes",'Data Tables'!AG31,'Data Tables'!AH31),IF($K$15="Yes",'Data Tables'!AG31,'Data Tables'!AH31)))))))))),IF($K$14="550-575",IF($K$15="Yes",'Data Tables'!W31,'Data Tables'!X31),IF($K$14="575-600",IF($K$15="Yes",'Data Tables'!W31,'Data Tables'!X31),IF($K$14="600-625",IF($K$15="Yes",'Data Tables'!AC31,'Data Tables'!AD31),IF($K$14="625-650",IF($K$15="Yes",'Data Tables'!AC31,'Data Tables'!AD31),IF($K$14="650-675",IF($K$15="Yes",'Data Tables'!AC31,'Data Tables'!AD31),IF($K$14="675-700",IF($K$15="Yes",'Data Tables'!AC31,'Data Tables'!AD31),IF($K$14="700-750",IF($K$15="Yes",'Data Tables'!AI31,'Data Tables'!AJ31),IF($K$14="750-800",IF($K$15="Yes",'Data Tables'!AI31,'Data Tables'!AJ31),IF($K$14="800-850",IF($K$15="Yes",'Data Tables'!AI31,'Data Tables'!AJ31),IF($K$15="Yes",'Data Tables'!AI31,'Data Tables'!AJ31))))))))))))))))</f>
        <v>0</v>
      </c>
      <c r="P31" s="284"/>
      <c r="Q31" s="287">
        <f>IF($K$12="Wensum",($K31*(IF($K$13="Freely draining",IF($K$14="550-575",IF($K$15="Yes",'Data Tables'!AM9,'Data Tables'!AN9),IF($K$14="575-600",IF($K$15="Yes",'Data Tables'!AM9,'Data Tables'!AN9),IF($K$14="600-625",IF($K$15="Yes",'Data Tables'!AS9,'Data Tables'!AT9),IF($K$14="625-650",IF($K$15="Yes",'Data Tables'!AS9,'Data Tables'!AT9),IF($K$14="650-675",IF($K$15="Yes",'Data Tables'!AS9,'Data Tables'!AT9),IF($K$14="675-700",IF($K$15="Yes",'Data Tables'!AS9,'Data Tables'!AT9),IF($K$14="700-750",IF($K$15="Yes",'Data Tables'!AY9,'Data Tables'!AZ9),IF($K$14="750-800",IF($K$15="Yes",'Data Tables'!AY9,'Data Tables'!AZ9),IF($K$14="800-850",IF($K$15="Yes",'Data Tables'!AY9,'Data Tables'!AZ9),IF($K$15="Yes",'Data Tables'!AS9,'Data Tables'!AT9)))))))))),IF($K$13="Impermeable - drained for arable",IF($K$14="550-575",IF($K$15="Yes",'Data Tables'!AO9,'Data Tables'!AP9),IF($K$14="575-600",IF($K$15="Yes",'Data Tables'!AO9,'Data Tables'!AP9),IF($K$14="600-625",IF($K$15="Yes",'Data Tables'!AU9,'Data Tables'!AV9),IF($K$14="625-650",IF($K$15="Yes",'Data Tables'!AU9,'Data Tables'!AV9),IF($K$14="650-675",IF($K$15="Yes",'Data Tables'!AU9,'Data Tables'!AV9),IF($K$14="675-700",IF($K$15="Yes",'Data Tables'!AU9,'Data Tables'!AV9),IF($K$14="700-750",IF($K$15="Yes",'Data Tables'!BA9,'Data Tables'!BB9),IF($K$14="750-800",IF($K$15="Yes",'Data Tables'!BA9,'Data Tables'!BB9),IF($K$14="800-850",IF($K$15="Yes",'Data Tables'!BA9,'Data Tables'!BB9),IF($K$15="Yes",'Data Tables'!BA9,'Data Tables'!BB9)))))))))),IF($K$14="550-575",IF($K$15="Yes",'Data Tables'!AQ9,'Data Tables'!AR9),IF($K$14="575-600",IF($K$15="Yes",'Data Tables'!AQ9,'Data Tables'!AR9),IF($K$14="600-625",IF($K$15="Yes",'Data Tables'!AW9,'Data Tables'!AX9),IF($K$14="625-650",IF($K$15="Yes",'Data Tables'!AW9,'Data Tables'!AX9),IF($K$14="650-675",IF($K$15="Yes",'Data Tables'!AW9,'Data Tables'!AX9),IF($K$14="675-700",IF($K$15="Yes",'Data Tables'!AW9,'Data Tables'!AX9),IF($K$14="700-750",IF($K$15="Yes",'Data Tables'!BC9,'Data Tables'!BD9),IF($K$14="750-800",IF($K$15="Yes",'Data Tables'!BC9,'Data Tables'!BD9),IF($K$14="800-850",IF($K$15="Yes",'Data Tables'!BC9,'Data Tables'!BD9),IF($K$15="Yes",'Data Tables'!BC9,'Data Tables'!BD9)))))))))))))),IF($K$12="Yare",($K31*(IF($K$13="Freely draining",IF($K$14="550-575",IF($K$15="Yes",'Data Tables'!AM20,'Data Tables'!AN20),IF($K$14="575-600",IF($K$15="Yes",'Data Tables'!AM20,'Data Tables'!AN20),IF($K$14="600-625",IF($K$15="Yes",'Data Tables'!AS20,'Data Tables'!AT20),IF($K$14="625-650",IF($K$15="Yes",'Data Tables'!AS20,'Data Tables'!AT20),IF($K$14="650-675",IF($K$15="Yes",'Data Tables'!AS20,'Data Tables'!AT20),IF($K$14="675-700",IF($K$15="Yes",'Data Tables'!AS20,'Data Tables'!AT20),IF($K$14="700-750",IF($K$15="Yes",'Data Tables'!AY20,'Data Tables'!AZ20),IF($K$14="750-800",IF($K$15="Yes",'Data Tables'!AY20,'Data Tables'!AZ20),IF($K$14="800-850",IF($K$15="Yes",'Data Tables'!AY20,'Data Tables'!AZ20),IF($K$15="Yes",'Data Tables'!AY20,'Data Tables'!AZ20)))))))))),IF($K$13="Impermeable - drained for arable",IF($K$14="550-575",IF($K$15="Yes",'Data Tables'!AO20,'Data Tables'!AP20),IF($K$14="575-600",IF($K$15="Yes",'Data Tables'!AO20,'Data Tables'!AP20),IF($K$14="600-625",IF($K$15="Yes",'Data Tables'!AU20,'Data Tables'!AV20),IF($K$14="625-650",IF($K$15="Yes",'Data Tables'!AU20,'Data Tables'!AV20),IF($K$14="650-675",IF($K$15="Yes",'Data Tables'!AU20,'Data Tables'!AV20),IF($K$14="675-700",IF($K$15="Yes",'Data Tables'!AU20,'Data Tables'!AV20),IF($K$14="700-750",IF($K$15="Yes",'Data Tables'!BA20,'Data Tables'!BB20),IF($K$14="750-800",IF($K$15="Yes",'Data Tables'!BA20,'Data Tables'!BB20),IF($K$14="800-850",IF($K$15="Yes",'Data Tables'!BA20,'Data Tables'!BB20),IF($K$15="Yes",'Data Tables'!BA20,'Data Tables'!BB20)))))))))),IF($K$14="550-575",IF($K$15="Yes",'Data Tables'!AQ20,'Data Tables'!AR20),IF($K$14="575-600",IF($K$15="Yes",'Data Tables'!AQ20,'Data Tables'!AR20),IF($K$14="600-625",IF($K$15="Yes",'Data Tables'!AW20,'Data Tables'!AX20),IF($K$14="625-650",IF($K$15="Yes",'Data Tables'!AW20,'Data Tables'!AX20),IF($K$14="650-675",IF($K$15="Yes",'Data Tables'!AW20,'Data Tables'!AX20),IF($K$14="675-700",IF($K$15="Yes",'Data Tables'!AW20,'Data Tables'!AX20),IF($K$14="700-750",IF($K$15="Yes",'Data Tables'!BC20,'Data Tables'!BD20),IF($K$14="750-800",IF($K$15="Yes",'Data Tables'!BC20,'Data Tables'!BD20),IF($K$14="800-850",IF($K$15="Yes",'Data Tables'!BC20,'Data Tables'!BD20),IF($K$15="Yes",'Data Tables'!BC20,'Data Tables'!BD20)))))))))))))),($K31*(IF($K$13="Freely draining",IF($K$14="550-575",IF($K$15="Yes",'Data Tables'!AM31,'Data Tables'!AN31),IF($K$14="575-600",IF($K$15="Yes",'Data Tables'!AM31,'Data Tables'!AN31),IF($K$14="600-625",IF($K$15="Yes",'Data Tables'!AS31,'Data Tables'!AT31),IF($K$14="625-650",IF($K$15="Yes",'Data Tables'!AS31,'Data Tables'!AT31),IF($K$14="650-675",IF($K$15="Yes",'Data Tables'!AS31,'Data Tables'!AT31),IF($K$14="675-700",IF($K$15="Yes",'Data Tables'!AS31,'Data Tables'!AT31),IF($K$14="700-750",IF($K$15="Yes",'Data Tables'!AY31,'Data Tables'!AZ31),IF($K$14="750-800",IF($K$15="Yes",'Data Tables'!AY31,'Data Tables'!AZ31),IF($K$14="800-850",IF($K$15="Yes",'Data Tables'!AY31,'Data Tables'!AZ31),IF($K$15="Yes",'Data Tables'!AY31,'Data Tables'!AZ31)))))))))),IF($K$13="Impermeable - drained for arable",IF($K$14="550-575",IF($K$15="Yes",'Data Tables'!AO31,'Data Tables'!AP31),IF($K$14="575-600",IF($K$15="Yes",'Data Tables'!AO31,'Data Tables'!AP31),IF($K$14="600-625",IF($K$15="Yes",'Data Tables'!AU31,'Data Tables'!AV31),IF($K$14="625-650",IF($K$15="Yes",'Data Tables'!AU31,'Data Tables'!AV31),IF($K$14="650-675",IF($K$15="Yes",'Data Tables'!AU31,'Data Tables'!AV31),IF($K$14="675-700",IF($K$15="Yes",'Data Tables'!AU31,'Data Tables'!AV31),IF($K$14="700-750",IF($K$15="Yes",'Data Tables'!BA31,'Data Tables'!BB31),IF($K$14="750-800",IF($K$15="Yes",'Data Tables'!BA31,'Data Tables'!BB31),IF($K$14="800-850",IF($K$15="Yes",'Data Tables'!BA31,'Data Tables'!BB31),IF($K$15="Yes",'Data Tables'!BA31,'Data Tables'!BB31)))))))))),IF($K$14="550-575",IF($K$15="Yes",'Data Tables'!AQ31,'Data Tables'!AR31),IF($K$14="575-600",IF($K$15="Yes",'Data Tables'!AQ31,'Data Tables'!AR31),IF($K$14="600-625",IF($K$15="Yes",'Data Tables'!AW31,'Data Tables'!AX31),IF($K$14="625-650",IF($K$15="Yes",'Data Tables'!AW31,'Data Tables'!AX31),IF($K$14="650-675",IF($K$15="Yes",'Data Tables'!AW31,'Data Tables'!AX31),IF($K$14="675-700",IF($K$15="Yes",'Data Tables'!AW31,'Data Tables'!AX31),IF($K$14="700-750",IF($K$15="Yes",'Data Tables'!BC31,'Data Tables'!BD31),IF($K$14="750-800",IF($K$15="Yes",'Data Tables'!BC31,'Data Tables'!BD31),IF($K$14="800-850",IF($K$15="Yes",'Data Tables'!BC31,'Data Tables'!BD31),IF($K$15="Yes",'Data Tables'!BC31,'Data Tables'!BD31))))))))))))))))</f>
        <v>0</v>
      </c>
      <c r="R31" s="288"/>
      <c r="S31" s="49" t="s">
        <v>391</v>
      </c>
      <c r="T31" s="6"/>
      <c r="W31" s="113"/>
      <c r="X31" s="113"/>
      <c r="Y31" s="113"/>
      <c r="Z31" s="113"/>
      <c r="AA31" s="113"/>
      <c r="AB31" s="113"/>
      <c r="AC31" s="113"/>
      <c r="AD31" s="113"/>
      <c r="AE31" s="113"/>
      <c r="AF31" s="113"/>
      <c r="AG31" s="113"/>
      <c r="AH31" s="113"/>
      <c r="AI31" s="113"/>
      <c r="AJ31" s="113"/>
      <c r="AK31" s="113"/>
      <c r="AL31" s="113"/>
      <c r="AM31" s="113"/>
      <c r="AN31" s="113"/>
      <c r="AO31" s="113"/>
      <c r="AQ31" s="113"/>
      <c r="AR31" s="113"/>
      <c r="AS31" s="113"/>
      <c r="AT31" s="113"/>
      <c r="AU31" s="113"/>
      <c r="AV31" s="113"/>
      <c r="AW31" s="113"/>
      <c r="AX31" s="113"/>
      <c r="AY31" s="113"/>
      <c r="AZ31" s="113"/>
      <c r="BA31" s="113"/>
      <c r="BB31" s="113"/>
      <c r="BC31" s="113"/>
    </row>
    <row r="32" spans="2:55" ht="14.55" customHeight="1" x14ac:dyDescent="0.3">
      <c r="B32" s="4"/>
      <c r="C32" s="42"/>
      <c r="D32" s="227"/>
      <c r="E32" s="49"/>
      <c r="F32" s="445" t="s">
        <v>22</v>
      </c>
      <c r="G32" s="445"/>
      <c r="H32" s="445"/>
      <c r="I32" s="445"/>
      <c r="J32" s="445"/>
      <c r="K32" s="282"/>
      <c r="L32" s="240" t="s">
        <v>17</v>
      </c>
      <c r="M32" s="49"/>
      <c r="N32" s="49"/>
      <c r="O32" s="287">
        <f>IF($K$12="Wensum",($K32*(IF($K$13="Freely draining",IF($K$14="550-575",IF($K$15="Yes",'Data Tables'!S10,'Data Tables'!T10),IF($K$14="575-600",IF($K$15="Yes",'Data Tables'!S10,'Data Tables'!T10),IF($K$14="600-625",IF($K$15="Yes",'Data Tables'!Y10,'Data Tables'!Z10),IF($K$14="625-650",IF($K$15="Yes",'Data Tables'!Y10,'Data Tables'!Z10),IF($K$14="650-675",IF($K$15="Yes",'Data Tables'!Y10,'Data Tables'!Z10),IF($K$14="675-700",IF($K$15="Yes",'Data Tables'!Y10,'Data Tables'!Z10),IF($K$14="700-750",IF($K$15="Yes",'Data Tables'!AE10,'Data Tables'!AF10),IF($K$14="750-800",IF($K$15="Yes",'Data Tables'!AE10,'Data Tables'!AF10),IF($K$14="800-850",IF($K$15="Yes",'Data Tables'!AE10,'Data Tables'!AF10),IF($K$15="Yes",'Data Tables'!Y10,'Data Tables'!Z10)))))))))),IF($K$13="Impermeable - drained for arable",IF($K$14="550-575",IF($K$15="Yes",'Data Tables'!U10,'Data Tables'!V10),IF($K$14="575-600",IF($K$15="Yes",'Data Tables'!U10,'Data Tables'!V10),IF($K$14="600-625",IF($K$15="Yes",'Data Tables'!AA10,'Data Tables'!AB10),IF($K$14="625-650",IF($K$15="Yes",'Data Tables'!AA10,'Data Tables'!AB10),IF($K$14="650-675",IF($K$15="Yes",'Data Tables'!AA10,'Data Tables'!AB10),IF($K$14="675-700",IF($K$15="Yes",'Data Tables'!AA10,'Data Tables'!AB10),IF($K$14="700-750",IF($K$15="Yes",'Data Tables'!AG10,'Data Tables'!AH10),IF($K$14="750-800",IF($K$15="Yes",'Data Tables'!AG10,'Data Tables'!AH10),IF($K$14="800-850",IF($K$15="Yes",'Data Tables'!AG10,'Data Tables'!AH10),IF($K$15="Yes",'Data Tables'!AG10,'Data Tables'!AH10)))))))))),IF($K$14="550-575",IF($K$15="Yes",'Data Tables'!W10,'Data Tables'!X10),IF($K$14="575-600",IF($K$15="Yes",'Data Tables'!W10,'Data Tables'!X10),IF($K$14="600-625",IF($K$15="Yes",'Data Tables'!AC10,'Data Tables'!AD10),IF($K$14="625-650",IF($K$15="Yes",'Data Tables'!AC10,'Data Tables'!AD10),IF($K$14="650-675",IF($K$15="Yes",'Data Tables'!AC10,'Data Tables'!AD10),IF($K$14="675-700",IF($K$15="Yes",'Data Tables'!AC10,'Data Tables'!AD10),IF($K$14="700-750",IF($K$15="Yes",'Data Tables'!AI10,'Data Tables'!AJ10),IF($K$14="750-800",IF($K$15="Yes",'Data Tables'!AI10,'Data Tables'!AJ10),IF($K$14="800-850",IF($K$15="Yes",'Data Tables'!AI10,'Data Tables'!AJ10),IF($K$15="Yes",'Data Tables'!AI10,'Data Tables'!AJ10)))))))))))))),IF($K$12="Yare",($K32*(IF($K$13="Freely draining",IF($K$14="550-575",IF($K$15="Yes",'Data Tables'!S21,'Data Tables'!T21),IF($K$14="575-600",IF($K$15="Yes",'Data Tables'!S21,'Data Tables'!T21),IF($K$14="600-625",IF($K$15="Yes",'Data Tables'!Y21,'Data Tables'!Z21),IF($K$14="625-650",IF($K$15="Yes",'Data Tables'!Y21,'Data Tables'!Z21),IF($K$14="650-675",IF($K$15="Yes",'Data Tables'!Y21,'Data Tables'!Z21),IF($K$14="675-700",IF($K$15="Yes",'Data Tables'!Y21,'Data Tables'!Z21),IF($K$14="700-750",IF($K$15="Yes",'Data Tables'!AE21,'Data Tables'!AF21),IF($K$14="750-800",IF($K$15="Yes",'Data Tables'!AE21,'Data Tables'!AF21),IF($K$14="800-850",IF($K$15="Yes",'Data Tables'!AE21,'Data Tables'!AF21),IF($K$15="Yes",'Data Tables'!AE21,'Data Tables'!AF21)))))))))),IF($K$13="Impermeable - drained for arable",IF($K$14="550-575",IF($K$15="Yes",'Data Tables'!U21,'Data Tables'!V21),IF($K$14="575-600",IF($K$15="Yes",'Data Tables'!U21,'Data Tables'!V21),IF($K$14="600-625",IF($K$15="Yes",'Data Tables'!AA21,'Data Tables'!AB21),IF($K$14="625-650",IF($K$15="Yes",'Data Tables'!AA21,'Data Tables'!AB21),IF($K$14="650-675",IF($K$15="Yes",'Data Tables'!AA21,'Data Tables'!AB21),IF($K$14="675-700",IF($K$15="Yes",'Data Tables'!AA21,'Data Tables'!AB21),IF($K$14="700-750",IF($K$15="Yes",'Data Tables'!AG21,'Data Tables'!AH21),IF($K$14="750-800",IF($K$15="Yes",'Data Tables'!AG21,'Data Tables'!AH21),IF($K$14="800-850",IF($K$15="Yes",'Data Tables'!AG21,'Data Tables'!AH21),IF($K$15="Yes",'Data Tables'!AG21,'Data Tables'!AH21)))))))))),IF($K$14="550-575",IF($K$15="Yes",'Data Tables'!W21,'Data Tables'!X21),IF($K$14="575-600",IF($K$15="Yes",'Data Tables'!W21,'Data Tables'!X21),IF($K$14="600-625",IF($K$15="Yes",'Data Tables'!AC21,'Data Tables'!AD21),IF($K$14="625-650",IF($K$15="Yes",'Data Tables'!AC21,'Data Tables'!AD21),IF($K$14="650-675",IF($K$15="Yes",'Data Tables'!AC21,'Data Tables'!AD21),IF($K$14="675-700",IF($K$15="Yes",'Data Tables'!AC21,'Data Tables'!AD21),IF($K$14="700-750",IF($K$15="Yes",'Data Tables'!AI21,'Data Tables'!AJ21),IF($K$14="750-800",IF($K$15="Yes",'Data Tables'!AI21,'Data Tables'!AJ21),IF($K$14="800-850",IF($K$15="Yes",'Data Tables'!AI21,'Data Tables'!AJ21),IF($K$15="Yes",'Data Tables'!AI21,'Data Tables'!AJ21)))))))))))))),($K32*(IF($K$13="Freely draining",IF($K$14="550-575",IF($K$15="Yes",'Data Tables'!S32,'Data Tables'!T32),IF($K$14="575-600",IF($K$15="Yes",'Data Tables'!S32,'Data Tables'!T32),IF($K$14="600-625",IF($K$15="Yes",'Data Tables'!Y32,'Data Tables'!Z32),IF($K$14="625-650",IF($K$15="Yes",'Data Tables'!Y32,'Data Tables'!Z32),IF($K$14="650-675",IF($K$15="Yes",'Data Tables'!Y32,'Data Tables'!Z32),IF($K$14="675-700",IF($K$15="Yes",'Data Tables'!Y32,'Data Tables'!Z32),IF($K$14="700-750",IF($K$15="Yes",'Data Tables'!AE32,'Data Tables'!AF32),IF($K$14="750-800",IF($K$15="Yes",'Data Tables'!AE32,'Data Tables'!AF32),IF($K$14="800-850",IF($K$15="Yes",'Data Tables'!AE32,'Data Tables'!AF32),IF($K$15="Yes",'Data Tables'!AE32,'Data Tables'!AF32)))))))))),IF($K$13="Impermeable - drained for arable",IF($K$14="550-575",IF($K$15="Yes",'Data Tables'!U32,'Data Tables'!V32),IF($K$14="575-600",IF($K$15="Yes",'Data Tables'!U32,'Data Tables'!V32),IF($K$14="600-625",IF($K$15="Yes",'Data Tables'!AA32,'Data Tables'!AB32),IF($K$14="625-650",IF($K$15="Yes",'Data Tables'!AA32,'Data Tables'!AB32),IF($K$14="650-675",IF($K$15="Yes",'Data Tables'!AA32,'Data Tables'!AB32),IF($K$14="675-700",IF($K$15="Yes",'Data Tables'!AA32,'Data Tables'!AB32),IF($K$14="700-750",IF($K$15="Yes",'Data Tables'!AG32,'Data Tables'!AH32),IF($K$14="750-800",IF($K$15="Yes",'Data Tables'!AG32,'Data Tables'!AH32),IF($K$14="800-850",IF($K$15="Yes",'Data Tables'!AG32,'Data Tables'!AH32),IF($K$15="Yes",'Data Tables'!AG32,'Data Tables'!AH32)))))))))),IF($K$14="550-575",IF($K$15="Yes",'Data Tables'!W32,'Data Tables'!X32),IF($K$14="575-600",IF($K$15="Yes",'Data Tables'!W32,'Data Tables'!X32),IF($K$14="600-625",IF($K$15="Yes",'Data Tables'!AC32,'Data Tables'!AD32),IF($K$14="625-650",IF($K$15="Yes",'Data Tables'!AC32,'Data Tables'!AD32),IF($K$14="650-675",IF($K$15="Yes",'Data Tables'!AC32,'Data Tables'!AD32),IF($K$14="675-700",IF($K$15="Yes",'Data Tables'!AC32,'Data Tables'!AD32),IF($K$14="700-750",IF($K$15="Yes",'Data Tables'!AI32,'Data Tables'!AJ32),IF($K$14="750-800",IF($K$15="Yes",'Data Tables'!AI32,'Data Tables'!AJ32),IF($K$14="800-850",IF($K$15="Yes",'Data Tables'!AI32,'Data Tables'!AJ32),IF($K$15="Yes",'Data Tables'!AI32,'Data Tables'!AJ32))))))))))))))))</f>
        <v>0</v>
      </c>
      <c r="P32" s="284"/>
      <c r="Q32" s="287">
        <f>IF($K$12="Wensum",($K32*(IF($K$13="Freely draining",IF($K$14="550-575",IF($K$15="Yes",'Data Tables'!AM10,'Data Tables'!AN10),IF($K$14="575-600",IF($K$15="Yes",'Data Tables'!AM10,'Data Tables'!AN10),IF($K$14="600-625",IF($K$15="Yes",'Data Tables'!AS10,'Data Tables'!AT10),IF($K$14="625-650",IF($K$15="Yes",'Data Tables'!AS10,'Data Tables'!AT10),IF($K$14="650-675",IF($K$15="Yes",'Data Tables'!AS10,'Data Tables'!AT10),IF($K$14="675-700",IF($K$15="Yes",'Data Tables'!AS10,'Data Tables'!AT10),IF($K$14="700-750",IF($K$15="Yes",'Data Tables'!AY10,'Data Tables'!AZ10),IF($K$14="750-800",IF($K$15="Yes",'Data Tables'!AY10,'Data Tables'!AZ10),IF($K$14="800-850",IF($K$15="Yes",'Data Tables'!AY10,'Data Tables'!AZ10),IF($K$15="Yes",'Data Tables'!AS10,'Data Tables'!AT10)))))))))),IF($K$13="Impermeable - drained for arable",IF($K$14="550-575",IF($K$15="Yes",'Data Tables'!AO10,'Data Tables'!AP10),IF($K$14="575-600",IF($K$15="Yes",'Data Tables'!AO10,'Data Tables'!AP10),IF($K$14="600-625",IF($K$15="Yes",'Data Tables'!AU10,'Data Tables'!AV10),IF($K$14="625-650",IF($K$15="Yes",'Data Tables'!AU10,'Data Tables'!AV10),IF($K$14="650-675",IF($K$15="Yes",'Data Tables'!AU10,'Data Tables'!AV10),IF($K$14="675-700",IF($K$15="Yes",'Data Tables'!AU10,'Data Tables'!AV10),IF($K$14="700-750",IF($K$15="Yes",'Data Tables'!BA10,'Data Tables'!BB10),IF($K$14="750-800",IF($K$15="Yes",'Data Tables'!BA10,'Data Tables'!BB10),IF($K$14="800-850",IF($K$15="Yes",'Data Tables'!BA10,'Data Tables'!BB10),IF($K$15="Yes",'Data Tables'!BA10,'Data Tables'!BB10)))))))))),IF($K$14="550-575",IF($K$15="Yes",'Data Tables'!AQ10,'Data Tables'!AR10),IF($K$14="575-600",IF($K$15="Yes",'Data Tables'!AQ10,'Data Tables'!AR10),IF($K$14="600-625",IF($K$15="Yes",'Data Tables'!AW10,'Data Tables'!AX10),IF($K$14="625-650",IF($K$15="Yes",'Data Tables'!AW10,'Data Tables'!AX10),IF($K$14="650-675",IF($K$15="Yes",'Data Tables'!AW10,'Data Tables'!AX10),IF($K$14="675-700",IF($K$15="Yes",'Data Tables'!AW10,'Data Tables'!AX10),IF($K$14="700-750",IF($K$15="Yes",'Data Tables'!BC10,'Data Tables'!BD10),IF($K$14="750-800",IF($K$15="Yes",'Data Tables'!BC10,'Data Tables'!BD10),IF($K$14="800-850",IF($K$15="Yes",'Data Tables'!BC10,'Data Tables'!BD10),IF($K$15="Yes",'Data Tables'!BC10,'Data Tables'!BD10)))))))))))))),IF($K$12="Yare",($K32*(IF($K$13="Freely draining",IF($K$14="550-575",IF($K$15="Yes",'Data Tables'!AM21,'Data Tables'!AN21),IF($K$14="575-600",IF($K$15="Yes",'Data Tables'!AM21,'Data Tables'!AN21),IF($K$14="600-625",IF($K$15="Yes",'Data Tables'!AS21,'Data Tables'!AT21),IF($K$14="625-650",IF($K$15="Yes",'Data Tables'!AS21,'Data Tables'!AT21),IF($K$14="650-675",IF($K$15="Yes",'Data Tables'!AS21,'Data Tables'!AT21),IF($K$14="675-700",IF($K$15="Yes",'Data Tables'!AS21,'Data Tables'!AT21),IF($K$14="700-750",IF($K$15="Yes",'Data Tables'!AY21,'Data Tables'!AZ21),IF($K$14="750-800",IF($K$15="Yes",'Data Tables'!AY21,'Data Tables'!AZ21),IF($K$14="800-850",IF($K$15="Yes",'Data Tables'!AY21,'Data Tables'!AZ21),IF($K$15="Yes",'Data Tables'!AY21,'Data Tables'!AZ21)))))))))),IF($K$13="Impermeable - drained for arable",IF($K$14="550-575",IF($K$15="Yes",'Data Tables'!AO21,'Data Tables'!AP21),IF($K$14="575-600",IF($K$15="Yes",'Data Tables'!AO21,'Data Tables'!AP21),IF($K$14="600-625",IF($K$15="Yes",'Data Tables'!AU21,'Data Tables'!AV21),IF($K$14="625-650",IF($K$15="Yes",'Data Tables'!AU21,'Data Tables'!AV21),IF($K$14="650-675",IF($K$15="Yes",'Data Tables'!AU21,'Data Tables'!AV21),IF($K$14="675-700",IF($K$15="Yes",'Data Tables'!AU21,'Data Tables'!AV21),IF($K$14="700-750",IF($K$15="Yes",'Data Tables'!BA21,'Data Tables'!BB21),IF($K$14="750-800",IF($K$15="Yes",'Data Tables'!BA21,'Data Tables'!BB21),IF($K$14="800-850",IF($K$15="Yes",'Data Tables'!BA21,'Data Tables'!BB21),IF($K$15="Yes",'Data Tables'!BA21,'Data Tables'!BB21)))))))))),IF($K$14="550-575",IF($K$15="Yes",'Data Tables'!AQ21,'Data Tables'!AR21),IF($K$14="575-600",IF($K$15="Yes",'Data Tables'!AQ21,'Data Tables'!AR21),IF($K$14="600-625",IF($K$15="Yes",'Data Tables'!AW21,'Data Tables'!AX21),IF($K$14="625-650",IF($K$15="Yes",'Data Tables'!AW21,'Data Tables'!AX21),IF($K$14="650-675",IF($K$15="Yes",'Data Tables'!AW21,'Data Tables'!AX21),IF($K$14="675-700",IF($K$15="Yes",'Data Tables'!AW21,'Data Tables'!AX21),IF($K$14="700-750",IF($K$15="Yes",'Data Tables'!BC21,'Data Tables'!BD21),IF($K$14="750-800",IF($K$15="Yes",'Data Tables'!BC21,'Data Tables'!BD21),IF($K$14="800-850",IF($K$15="Yes",'Data Tables'!BC21,'Data Tables'!BD21),IF($K$15="Yes",'Data Tables'!BC21,'Data Tables'!BD21)))))))))))))),($K32*(IF($K$13="Freely draining",IF($K$14="550-575",IF($K$15="Yes",'Data Tables'!AM32,'Data Tables'!AN32),IF($K$14="575-600",IF($K$15="Yes",'Data Tables'!AM32,'Data Tables'!AN32),IF($K$14="600-625",IF($K$15="Yes",'Data Tables'!AS32,'Data Tables'!AT32),IF($K$14="625-650",IF($K$15="Yes",'Data Tables'!AS32,'Data Tables'!AT32),IF($K$14="650-675",IF($K$15="Yes",'Data Tables'!AS32,'Data Tables'!AT32),IF($K$14="675-700",IF($K$15="Yes",'Data Tables'!AS32,'Data Tables'!AT32),IF($K$14="700-750",IF($K$15="Yes",'Data Tables'!AY32,'Data Tables'!AZ32),IF($K$14="750-800",IF($K$15="Yes",'Data Tables'!AY32,'Data Tables'!AZ32),IF($K$14="800-850",IF($K$15="Yes",'Data Tables'!AY32,'Data Tables'!AZ32),IF($K$15="Yes",'Data Tables'!AY32,'Data Tables'!AZ32)))))))))),IF($K$13="Impermeable - drained for arable",IF($K$14="550-575",IF($K$15="Yes",'Data Tables'!AO32,'Data Tables'!AP32),IF($K$14="575-600",IF($K$15="Yes",'Data Tables'!AO32,'Data Tables'!AP32),IF($K$14="600-625",IF($K$15="Yes",'Data Tables'!AU32,'Data Tables'!AV32),IF($K$14="625-650",IF($K$15="Yes",'Data Tables'!AU32,'Data Tables'!AV32),IF($K$14="650-675",IF($K$15="Yes",'Data Tables'!AU32,'Data Tables'!AV32),IF($K$14="675-700",IF($K$15="Yes",'Data Tables'!AU32,'Data Tables'!AV32),IF($K$14="700-750",IF($K$15="Yes",'Data Tables'!BA32,'Data Tables'!BB32),IF($K$14="750-800",IF($K$15="Yes",'Data Tables'!BA32,'Data Tables'!BB32),IF($K$14="800-850",IF($K$15="Yes",'Data Tables'!BA32,'Data Tables'!BB32),IF($K$15="Yes",'Data Tables'!BA32,'Data Tables'!BB32)))))))))),IF($K$14="550-575",IF($K$15="Yes",'Data Tables'!AQ32,'Data Tables'!AR32),IF($K$14="575-600",IF($K$15="Yes",'Data Tables'!AQ32,'Data Tables'!AR32),IF($K$14="600-625",IF($K$15="Yes",'Data Tables'!AW32,'Data Tables'!AX32),IF($K$14="625-650",IF($K$15="Yes",'Data Tables'!AW32,'Data Tables'!AX32),IF($K$14="650-675",IF($K$15="Yes",'Data Tables'!AW32,'Data Tables'!AX32),IF($K$14="675-700",IF($K$15="Yes",'Data Tables'!AW32,'Data Tables'!AX32),IF($K$14="700-750",IF($K$15="Yes",'Data Tables'!BC32,'Data Tables'!BD32),IF($K$14="750-800",IF($K$15="Yes",'Data Tables'!BC32,'Data Tables'!BD32),IF($K$14="800-850",IF($K$15="Yes",'Data Tables'!BC32,'Data Tables'!BD32),IF($K$15="Yes",'Data Tables'!BC32,'Data Tables'!BD32))))))))))))))))</f>
        <v>0</v>
      </c>
      <c r="R32" s="288"/>
      <c r="S32" s="49" t="s">
        <v>391</v>
      </c>
      <c r="T32" s="6"/>
      <c r="W32" s="113"/>
      <c r="X32" s="113"/>
      <c r="Y32" s="113"/>
      <c r="Z32" s="113"/>
      <c r="AA32" s="113"/>
      <c r="AB32" s="113"/>
      <c r="AC32" s="113"/>
      <c r="AD32" s="113"/>
      <c r="AE32" s="113"/>
      <c r="AF32" s="113"/>
      <c r="AG32" s="113"/>
      <c r="AH32" s="113"/>
      <c r="AI32" s="113"/>
      <c r="AJ32" s="113"/>
      <c r="AK32" s="113"/>
      <c r="AL32" s="113"/>
      <c r="AM32" s="113"/>
      <c r="AN32" s="113"/>
      <c r="AO32" s="113"/>
      <c r="AQ32" s="113"/>
      <c r="AR32" s="113"/>
      <c r="AS32" s="113"/>
      <c r="AT32" s="113"/>
      <c r="AU32" s="113"/>
      <c r="AV32" s="113"/>
      <c r="AW32" s="113"/>
      <c r="AX32" s="113"/>
      <c r="AY32" s="113"/>
      <c r="AZ32" s="113"/>
      <c r="BA32" s="113"/>
      <c r="BB32" s="113"/>
      <c r="BC32" s="113"/>
    </row>
    <row r="33" spans="2:55" ht="14.55" customHeight="1" x14ac:dyDescent="0.3">
      <c r="B33" s="4"/>
      <c r="C33" s="42"/>
      <c r="D33" s="227"/>
      <c r="E33" s="49"/>
      <c r="F33" s="445" t="s">
        <v>380</v>
      </c>
      <c r="G33" s="445"/>
      <c r="H33" s="445"/>
      <c r="I33" s="445"/>
      <c r="J33" s="445"/>
      <c r="K33" s="282"/>
      <c r="L33" s="240" t="s">
        <v>17</v>
      </c>
      <c r="M33" s="49"/>
      <c r="N33" s="49"/>
      <c r="O33" s="287">
        <f>IF($K$12="Wensum",($K33*(IF($K$13="Freely draining",IF($K$14="550-575",IF($K$15="Yes",'Data Tables'!S11,'Data Tables'!T11),IF($K$14="575-600",IF($K$15="Yes",'Data Tables'!S11,'Data Tables'!T11),IF($K$14="600-625",IF($K$15="Yes",'Data Tables'!Y11,'Data Tables'!Z11),IF($K$14="625-650",IF($K$15="Yes",'Data Tables'!Y11,'Data Tables'!Z11),IF($K$14="650-675",IF($K$15="Yes",'Data Tables'!Y11,'Data Tables'!Z11),IF($K$14="675-700",IF($K$15="Yes",'Data Tables'!Y11,'Data Tables'!Z11),IF($K$14="700-750",IF($K$15="Yes",'Data Tables'!AE11,'Data Tables'!AF11),IF($K$14="750-800",IF($K$15="Yes",'Data Tables'!AE11,'Data Tables'!AF11),IF($K$14="800-850",IF($K$15="Yes",'Data Tables'!AE11,'Data Tables'!AF11),IF($K$15="Yes",'Data Tables'!Y11,'Data Tables'!Z11)))))))))),IF($K$13="Impermeable - drained for arable",IF($K$14="550-575",IF($K$15="Yes",'Data Tables'!U11,'Data Tables'!V11),IF($K$14="575-600",IF($K$15="Yes",'Data Tables'!U11,'Data Tables'!V11),IF($K$14="600-625",IF($K$15="Yes",'Data Tables'!AA11,'Data Tables'!AB11),IF($K$14="625-650",IF($K$15="Yes",'Data Tables'!AA11,'Data Tables'!AB11),IF($K$14="650-675",IF($K$15="Yes",'Data Tables'!AA11,'Data Tables'!AB11),IF($K$14="675-700",IF($K$15="Yes",'Data Tables'!AA11,'Data Tables'!AB11),IF($K$14="700-750",IF($K$15="Yes",'Data Tables'!AG11,'Data Tables'!AH11),IF($K$14="750-800",IF($K$15="Yes",'Data Tables'!AG11,'Data Tables'!AH11),IF($K$14="800-850",IF($K$15="Yes",'Data Tables'!AG11,'Data Tables'!AH11),IF($K$15="Yes",'Data Tables'!AG11,'Data Tables'!AH11)))))))))),IF($K$14="550-575",IF($K$15="Yes",'Data Tables'!W11,'Data Tables'!X11),IF($K$14="575-600",IF($K$15="Yes",'Data Tables'!W11,'Data Tables'!X11),IF($K$14="600-625",IF($K$15="Yes",'Data Tables'!AC11,'Data Tables'!AD11),IF($K$14="625-650",IF($K$15="Yes",'Data Tables'!AC11,'Data Tables'!AD11),IF($K$14="650-675",IF($K$15="Yes",'Data Tables'!AC11,'Data Tables'!AD11),IF($K$14="675-700",IF($K$15="Yes",'Data Tables'!AC11,'Data Tables'!AD11),IF($K$14="700-750",IF($K$15="Yes",'Data Tables'!AI11,'Data Tables'!AJ11),IF($K$14="750-800",IF($K$15="Yes",'Data Tables'!AI11,'Data Tables'!AJ11),IF($K$14="800-850",IF($K$15="Yes",'Data Tables'!AI11,'Data Tables'!AJ11),IF($K$15="Yes",'Data Tables'!AI11,'Data Tables'!AJ11)))))))))))))),IF($K$12="Yare",($K33*(IF($K$13="Freely draining",IF($K$14="550-575",IF($K$15="Yes",'Data Tables'!S22,'Data Tables'!T22),IF($K$14="575-600",IF($K$15="Yes",'Data Tables'!S22,'Data Tables'!T22),IF($K$14="600-625",IF($K$15="Yes",'Data Tables'!Y22,'Data Tables'!Z22),IF($K$14="625-650",IF($K$15="Yes",'Data Tables'!Y22,'Data Tables'!Z22),IF($K$14="650-675",IF($K$15="Yes",'Data Tables'!Y22,'Data Tables'!Z22),IF($K$14="675-700",IF($K$15="Yes",'Data Tables'!Y22,'Data Tables'!Z22),IF($K$14="700-750",IF($K$15="Yes",'Data Tables'!AE22,'Data Tables'!AF22),IF($K$14="750-800",IF($K$15="Yes",'Data Tables'!AE22,'Data Tables'!AF22),IF($K$14="800-850",IF($K$15="Yes",'Data Tables'!AE22,'Data Tables'!AF22),IF($K$15="Yes",'Data Tables'!AE22,'Data Tables'!AF22)))))))))),IF($K$13="Impermeable - drained for arable",IF($K$14="550-575",IF($K$15="Yes",'Data Tables'!U22,'Data Tables'!V22),IF($K$14="575-600",IF($K$15="Yes",'Data Tables'!U22,'Data Tables'!V22),IF($K$14="600-625",IF($K$15="Yes",'Data Tables'!AA22,'Data Tables'!AB22),IF($K$14="625-650",IF($K$15="Yes",'Data Tables'!AA22,'Data Tables'!AB22),IF($K$14="650-675",IF($K$15="Yes",'Data Tables'!AA22,'Data Tables'!AB22),IF($K$14="675-700",IF($K$15="Yes",'Data Tables'!AA22,'Data Tables'!AB22),IF($K$14="700-750",IF($K$15="Yes",'Data Tables'!AG22,'Data Tables'!AH22),IF($K$14="750-800",IF($K$15="Yes",'Data Tables'!AG22,'Data Tables'!AH22),IF($K$14="800-850",IF($K$15="Yes",'Data Tables'!AG22,'Data Tables'!AH22),IF($K$15="Yes",'Data Tables'!AG22,'Data Tables'!AH22)))))))))),IF($K$14="550-575",IF($K$15="Yes",'Data Tables'!W22,'Data Tables'!X22),IF($K$14="575-600",IF($K$15="Yes",'Data Tables'!W22,'Data Tables'!X22),IF($K$14="600-625",IF($K$15="Yes",'Data Tables'!AC22,'Data Tables'!AD22),IF($K$14="625-650",IF($K$15="Yes",'Data Tables'!AC22,'Data Tables'!AD22),IF($K$14="650-675",IF($K$15="Yes",'Data Tables'!AC22,'Data Tables'!AD22),IF($K$14="675-700",IF($K$15="Yes",'Data Tables'!AC22,'Data Tables'!AD22),IF($K$14="700-750",IF($K$15="Yes",'Data Tables'!AI22,'Data Tables'!AJ22),IF($K$14="750-800",IF($K$15="Yes",'Data Tables'!AI22,'Data Tables'!AJ22),IF($K$14="800-850",IF($K$15="Yes",'Data Tables'!AI22,'Data Tables'!AJ22),IF($K$15="Yes",'Data Tables'!AI22,'Data Tables'!AJ22)))))))))))))),($K33*(IF($K$13="Freely draining",IF($K$14="550-575",IF($K$15="Yes",'Data Tables'!S33,'Data Tables'!T33),IF($K$14="575-600",IF($K$15="Yes",'Data Tables'!S33,'Data Tables'!T33),IF($K$14="600-625",IF($K$15="Yes",'Data Tables'!Y33,'Data Tables'!Z33),IF($K$14="625-650",IF($K$15="Yes",'Data Tables'!Y33,'Data Tables'!Z33),IF($K$14="650-675",IF($K$15="Yes",'Data Tables'!Y33,'Data Tables'!Z33),IF($K$14="675-700",IF($K$15="Yes",'Data Tables'!Y33,'Data Tables'!Z33),IF($K$14="700-750",IF($K$15="Yes",'Data Tables'!AE33,'Data Tables'!AF33),IF($K$14="750-800",IF($K$15="Yes",'Data Tables'!AE33,'Data Tables'!AF33),IF($K$14="800-850",IF($K$15="Yes",'Data Tables'!AE33,'Data Tables'!AF33),IF($K$15="Yes",'Data Tables'!AE33,'Data Tables'!AF33)))))))))),IF($K$13="Impermeable - drained for arable",IF($K$14="550-575",IF($K$15="Yes",'Data Tables'!U33,'Data Tables'!V33),IF($K$14="575-600",IF($K$15="Yes",'Data Tables'!U33,'Data Tables'!V33),IF($K$14="600-625",IF($K$15="Yes",'Data Tables'!AA33,'Data Tables'!AB33),IF($K$14="625-650",IF($K$15="Yes",'Data Tables'!AA33,'Data Tables'!AB33),IF($K$14="650-675",IF($K$15="Yes",'Data Tables'!AA33,'Data Tables'!AB33),IF($K$14="675-700",IF($K$15="Yes",'Data Tables'!AA33,'Data Tables'!AB33),IF($K$14="700-750",IF($K$15="Yes",'Data Tables'!AG33,'Data Tables'!AH33),IF($K$14="750-800",IF($K$15="Yes",'Data Tables'!AG33,'Data Tables'!AH33),IF($K$14="800-850",IF($K$15="Yes",'Data Tables'!AG33,'Data Tables'!AH33),IF($K$15="Yes",'Data Tables'!AG33,'Data Tables'!AH33)))))))))),IF($K$14="550-575",IF($K$15="Yes",'Data Tables'!W33,'Data Tables'!X33),IF($K$14="575-600",IF($K$15="Yes",'Data Tables'!W33,'Data Tables'!X33),IF($K$14="600-625",IF($K$15="Yes",'Data Tables'!AC33,'Data Tables'!AD33),IF($K$14="625-650",IF($K$15="Yes",'Data Tables'!AC33,'Data Tables'!AD33),IF($K$14="650-675",IF($K$15="Yes",'Data Tables'!AC33,'Data Tables'!AD33),IF($K$14="675-700",IF($K$15="Yes",'Data Tables'!AC33,'Data Tables'!AD33),IF($K$14="700-750",IF($K$15="Yes",'Data Tables'!AI33,'Data Tables'!AJ33),IF($K$14="750-800",IF($K$15="Yes",'Data Tables'!AI33,'Data Tables'!AJ33),IF($K$14="800-850",IF($K$15="Yes",'Data Tables'!AI33,'Data Tables'!AJ33),IF($K$15="Yes",'Data Tables'!AI33,'Data Tables'!AJ33))))))))))))))))</f>
        <v>0</v>
      </c>
      <c r="P33" s="284"/>
      <c r="Q33" s="287">
        <f>IF($K$12="Wensum",($K33*(IF($K$13="Freely draining",IF($K$14="550-575",IF($K$15="Yes",'Data Tables'!AM11,'Data Tables'!AN11),IF($K$14="575-600",IF($K$15="Yes",'Data Tables'!AM11,'Data Tables'!AN11),IF($K$14="600-625",IF($K$15="Yes",'Data Tables'!AS11,'Data Tables'!AT11),IF($K$14="625-650",IF($K$15="Yes",'Data Tables'!AS11,'Data Tables'!AT11),IF($K$14="650-675",IF($K$15="Yes",'Data Tables'!AS11,'Data Tables'!AT11),IF($K$14="675-700",IF($K$15="Yes",'Data Tables'!AS11,'Data Tables'!AT11),IF($K$14="700-750",IF($K$15="Yes",'Data Tables'!AY11,'Data Tables'!AZ11),IF($K$14="750-800",IF($K$15="Yes",'Data Tables'!AY11,'Data Tables'!AZ11),IF($K$14="800-850",IF($K$15="Yes",'Data Tables'!AY11,'Data Tables'!AZ11),IF($K$15="Yes",'Data Tables'!AS11,'Data Tables'!AT11)))))))))),IF($K$13="Impermeable - drained for arable",IF($K$14="550-575",IF($K$15="Yes",'Data Tables'!AO11,'Data Tables'!AP11),IF($K$14="575-600",IF($K$15="Yes",'Data Tables'!AO11,'Data Tables'!AP11),IF($K$14="600-625",IF($K$15="Yes",'Data Tables'!AU11,'Data Tables'!AV11),IF($K$14="625-650",IF($K$15="Yes",'Data Tables'!AU11,'Data Tables'!AV11),IF($K$14="650-675",IF($K$15="Yes",'Data Tables'!AU11,'Data Tables'!AV11),IF($K$14="675-700",IF($K$15="Yes",'Data Tables'!AU11,'Data Tables'!AV11),IF($K$14="700-750",IF($K$15="Yes",'Data Tables'!BA11,'Data Tables'!BB11),IF($K$14="750-800",IF($K$15="Yes",'Data Tables'!BA11,'Data Tables'!BB11),IF($K$14="800-850",IF($K$15="Yes",'Data Tables'!BA11,'Data Tables'!BB11),IF($K$15="Yes",'Data Tables'!BA11,'Data Tables'!BB11)))))))))),IF($K$14="550-575",IF($K$15="Yes",'Data Tables'!AQ11,'Data Tables'!AR11),IF($K$14="575-600",IF($K$15="Yes",'Data Tables'!AQ11,'Data Tables'!AR11),IF($K$14="600-625",IF($K$15="Yes",'Data Tables'!AW11,'Data Tables'!AX11),IF($K$14="625-650",IF($K$15="Yes",'Data Tables'!AW11,'Data Tables'!AX11),IF($K$14="650-675",IF($K$15="Yes",'Data Tables'!AW11,'Data Tables'!AX11),IF($K$14="675-700",IF($K$15="Yes",'Data Tables'!AW11,'Data Tables'!AX11),IF($K$14="700-750",IF($K$15="Yes",'Data Tables'!BC11,'Data Tables'!BD11),IF($K$14="750-800",IF($K$15="Yes",'Data Tables'!BC11,'Data Tables'!BD11),IF($K$14="800-850",IF($K$15="Yes",'Data Tables'!BC11,'Data Tables'!BD11),IF($K$15="Yes",'Data Tables'!BC11,'Data Tables'!BD11)))))))))))))),IF($K$12="Yare",($K33*(IF($K$13="Freely draining",IF($K$14="550-575",IF($K$15="Yes",'Data Tables'!AM22,'Data Tables'!AN22),IF($K$14="575-600",IF($K$15="Yes",'Data Tables'!AM22,'Data Tables'!AN22),IF($K$14="600-625",IF($K$15="Yes",'Data Tables'!AS22,'Data Tables'!AT22),IF($K$14="625-650",IF($K$15="Yes",'Data Tables'!AS22,'Data Tables'!AT22),IF($K$14="650-675",IF($K$15="Yes",'Data Tables'!AS22,'Data Tables'!AT22),IF($K$14="675-700",IF($K$15="Yes",'Data Tables'!AS22,'Data Tables'!AT22),IF($K$14="700-750",IF($K$15="Yes",'Data Tables'!AY22,'Data Tables'!AZ22),IF($K$14="750-800",IF($K$15="Yes",'Data Tables'!AY22,'Data Tables'!AZ22),IF($K$14="800-850",IF($K$15="Yes",'Data Tables'!AY22,'Data Tables'!AZ22),IF($K$15="Yes",'Data Tables'!AY22,'Data Tables'!AZ22)))))))))),IF($K$13="Impermeable - drained for arable",IF($K$14="550-575",IF($K$15="Yes",'Data Tables'!AO22,'Data Tables'!AP22),IF($K$14="575-600",IF($K$15="Yes",'Data Tables'!AO22,'Data Tables'!AP22),IF($K$14="600-625",IF($K$15="Yes",'Data Tables'!AU22,'Data Tables'!AV22),IF($K$14="625-650",IF($K$15="Yes",'Data Tables'!AU22,'Data Tables'!AV22),IF($K$14="650-675",IF($K$15="Yes",'Data Tables'!AU22,'Data Tables'!AV22),IF($K$14="675-700",IF($K$15="Yes",'Data Tables'!AU22,'Data Tables'!AV22),IF($K$14="700-750",IF($K$15="Yes",'Data Tables'!BA22,'Data Tables'!BB22),IF($K$14="750-800",IF($K$15="Yes",'Data Tables'!BA22,'Data Tables'!BB22),IF($K$14="800-850",IF($K$15="Yes",'Data Tables'!BA22,'Data Tables'!BB22),IF($K$15="Yes",'Data Tables'!BA22,'Data Tables'!BB22)))))))))),IF($K$14="550-575",IF($K$15="Yes",'Data Tables'!AQ22,'Data Tables'!AR22),IF($K$14="575-600",IF($K$15="Yes",'Data Tables'!AQ22,'Data Tables'!AR22),IF($K$14="600-625",IF($K$15="Yes",'Data Tables'!AW22,'Data Tables'!AX22),IF($K$14="625-650",IF($K$15="Yes",'Data Tables'!AW22,'Data Tables'!AX22),IF($K$14="650-675",IF($K$15="Yes",'Data Tables'!AW22,'Data Tables'!AX22),IF($K$14="675-700",IF($K$15="Yes",'Data Tables'!AW22,'Data Tables'!AX22),IF($K$14="700-750",IF($K$15="Yes",'Data Tables'!BC22,'Data Tables'!BD22),IF($K$14="750-800",IF($K$15="Yes",'Data Tables'!BC22,'Data Tables'!BD22),IF($K$14="800-850",IF($K$15="Yes",'Data Tables'!BC22,'Data Tables'!BD22),IF($K$15="Yes",'Data Tables'!BC22,'Data Tables'!BD22)))))))))))))),($K33*(IF($K$13="Freely draining",IF($K$14="550-575",IF($K$15="Yes",'Data Tables'!AM33,'Data Tables'!AN33),IF($K$14="575-600",IF($K$15="Yes",'Data Tables'!AM33,'Data Tables'!AN33),IF($K$14="600-625",IF($K$15="Yes",'Data Tables'!AS33,'Data Tables'!AT33),IF($K$14="625-650",IF($K$15="Yes",'Data Tables'!AS33,'Data Tables'!AT33),IF($K$14="650-675",IF($K$15="Yes",'Data Tables'!AS33,'Data Tables'!AT33),IF($K$14="675-700",IF($K$15="Yes",'Data Tables'!AS33,'Data Tables'!AT33),IF($K$14="700-750",IF($K$15="Yes",'Data Tables'!AY33,'Data Tables'!AZ33),IF($K$14="750-800",IF($K$15="Yes",'Data Tables'!AY33,'Data Tables'!AZ33),IF($K$14="800-850",IF($K$15="Yes",'Data Tables'!AY33,'Data Tables'!AZ33),IF($K$15="Yes",'Data Tables'!AY33,'Data Tables'!AZ33)))))))))),IF($K$13="Impermeable - drained for arable",IF($K$14="550-575",IF($K$15="Yes",'Data Tables'!AO33,'Data Tables'!AP33),IF($K$14="575-600",IF($K$15="Yes",'Data Tables'!AO33,'Data Tables'!AP33),IF($K$14="600-625",IF($K$15="Yes",'Data Tables'!AU33,'Data Tables'!AV33),IF($K$14="625-650",IF($K$15="Yes",'Data Tables'!AU33,'Data Tables'!AV33),IF($K$14="650-675",IF($K$15="Yes",'Data Tables'!AU33,'Data Tables'!AV33),IF($K$14="675-700",IF($K$15="Yes",'Data Tables'!AU33,'Data Tables'!AV33),IF($K$14="700-750",IF($K$15="Yes",'Data Tables'!BA33,'Data Tables'!BB33),IF($K$14="750-800",IF($K$15="Yes",'Data Tables'!BA33,'Data Tables'!BB33),IF($K$14="800-850",IF($K$15="Yes",'Data Tables'!BA33,'Data Tables'!BB33),IF($K$15="Yes",'Data Tables'!BA33,'Data Tables'!BB33)))))))))),IF($K$14="550-575",IF($K$15="Yes",'Data Tables'!AQ33,'Data Tables'!AR33),IF($K$14="575-600",IF($K$15="Yes",'Data Tables'!AQ33,'Data Tables'!AR33),IF($K$14="600-625",IF($K$15="Yes",'Data Tables'!AW33,'Data Tables'!AX33),IF($K$14="625-650",IF($K$15="Yes",'Data Tables'!AW33,'Data Tables'!AX33),IF($K$14="650-675",IF($K$15="Yes",'Data Tables'!AW33,'Data Tables'!AX33),IF($K$14="675-700",IF($K$15="Yes",'Data Tables'!AW33,'Data Tables'!AX33),IF($K$14="700-750",IF($K$15="Yes",'Data Tables'!BC33,'Data Tables'!BD33),IF($K$14="750-800",IF($K$15="Yes",'Data Tables'!BC33,'Data Tables'!BD33),IF($K$14="800-850",IF($K$15="Yes",'Data Tables'!BC33,'Data Tables'!BD33),IF($K$15="Yes",'Data Tables'!BC33,'Data Tables'!BD33))))))))))))))))</f>
        <v>0</v>
      </c>
      <c r="R33" s="288"/>
      <c r="S33" s="49" t="s">
        <v>391</v>
      </c>
      <c r="T33" s="6"/>
      <c r="W33" s="113"/>
      <c r="X33" s="113"/>
      <c r="Y33" s="113"/>
      <c r="Z33" s="113"/>
      <c r="AA33" s="113"/>
      <c r="AB33" s="113"/>
      <c r="AC33" s="113"/>
      <c r="AD33" s="113"/>
      <c r="AE33" s="113"/>
      <c r="AF33" s="113"/>
      <c r="AG33" s="113"/>
      <c r="AH33" s="113"/>
      <c r="AI33" s="113"/>
      <c r="AJ33" s="113"/>
      <c r="AK33" s="113"/>
      <c r="AL33" s="113"/>
      <c r="AM33" s="113"/>
      <c r="AN33" s="113"/>
      <c r="AO33" s="113"/>
      <c r="AQ33" s="113"/>
      <c r="AR33" s="113"/>
      <c r="AS33" s="113"/>
      <c r="AT33" s="113"/>
      <c r="AU33" s="113"/>
      <c r="AV33" s="113"/>
      <c r="AW33" s="113"/>
      <c r="AX33" s="113"/>
      <c r="AY33" s="113"/>
      <c r="AZ33" s="113"/>
      <c r="BA33" s="113"/>
      <c r="BB33" s="113"/>
      <c r="BC33" s="113"/>
    </row>
    <row r="34" spans="2:55" ht="14.55" customHeight="1" x14ac:dyDescent="0.3">
      <c r="B34" s="4"/>
      <c r="C34" s="42"/>
      <c r="D34" s="227"/>
      <c r="E34" s="49"/>
      <c r="F34" s="375" t="s">
        <v>504</v>
      </c>
      <c r="G34" s="375"/>
      <c r="H34" s="375"/>
      <c r="I34" s="375"/>
      <c r="J34" s="375"/>
      <c r="K34" s="282"/>
      <c r="L34" s="240" t="s">
        <v>17</v>
      </c>
      <c r="M34" s="49"/>
      <c r="N34" s="49"/>
      <c r="O34" s="287">
        <f>IF($K$12="Wensum",($K34*(IF($K$13="Freely draining",IF($K$14="550-575",IF($K$15="Yes",'Data Tables'!S12,'Data Tables'!T12),IF($K$14="575-600",IF($K$15="Yes",'Data Tables'!S12,'Data Tables'!T12),IF($K$14="600-625",IF($K$15="Yes",'Data Tables'!Y12,'Data Tables'!Z12),IF($K$14="625-650",IF($K$15="Yes",'Data Tables'!Y12,'Data Tables'!Z12),IF($K$14="650-675",IF($K$15="Yes",'Data Tables'!Y12,'Data Tables'!Z12),IF($K$14="675-700",IF($K$15="Yes",'Data Tables'!Y12,'Data Tables'!Z12),IF($K$14="700-750",IF($K$15="Yes",'Data Tables'!AE12,'Data Tables'!AF12),IF($K$14="750-800",IF($K$15="Yes",'Data Tables'!AE12,'Data Tables'!AF12),IF($K$14="800-850",IF($K$15="Yes",'Data Tables'!AE12,'Data Tables'!AF12),IF($K$15="Yes",'Data Tables'!Y12,'Data Tables'!Z12)))))))))),IF($K$13="Impermeable - drained for arable",IF($K$14="550-575",IF($K$15="Yes",'Data Tables'!U12,'Data Tables'!V12),IF($K$14="575-600",IF($K$15="Yes",'Data Tables'!U12,'Data Tables'!V12),IF($K$14="600-625",IF($K$15="Yes",'Data Tables'!AA12,'Data Tables'!AB12),IF($K$14="625-650",IF($K$15="Yes",'Data Tables'!AA12,'Data Tables'!AB12),IF($K$14="650-675",IF($K$15="Yes",'Data Tables'!AA12,'Data Tables'!AB12),IF($K$14="675-700",IF($K$15="Yes",'Data Tables'!AA12,'Data Tables'!AB12),IF($K$14="700-750",IF($K$15="Yes",'Data Tables'!AG12,'Data Tables'!AH12),IF($K$14="750-800",IF($K$15="Yes",'Data Tables'!AG12,'Data Tables'!AH12),IF($K$14="800-850",IF($K$15="Yes",'Data Tables'!AG12,'Data Tables'!AH12),IF($K$15="Yes",'Data Tables'!AG12,'Data Tables'!AH12)))))))))),IF($K$14="550-575",IF($K$15="Yes",'Data Tables'!W12,'Data Tables'!X12),IF($K$14="575-600",IF($K$15="Yes",'Data Tables'!W12,'Data Tables'!X12),IF($K$14="600-625",IF($K$15="Yes",'Data Tables'!AC12,'Data Tables'!AD12),IF($K$14="625-650",IF($K$15="Yes",'Data Tables'!AC12,'Data Tables'!AD12),IF($K$14="650-675",IF($K$15="Yes",'Data Tables'!AC12,'Data Tables'!AD12),IF($K$14="675-700",IF($K$15="Yes",'Data Tables'!AC12,'Data Tables'!AD12),IF($K$14="700-750",IF($K$15="Yes",'Data Tables'!AI12,'Data Tables'!AJ12),IF($K$14="750-800",IF($K$15="Yes",'Data Tables'!AI12,'Data Tables'!AJ12),IF($K$14="800-850",IF($K$15="Yes",'Data Tables'!AI12,'Data Tables'!AJ12),IF($K$15="Yes",'Data Tables'!AI12,'Data Tables'!AJ12)))))))))))))),IF($K$12="Yare",($K34*(IF($K$13="Freely draining",IF($K$14="550-575",IF($K$15="Yes",'Data Tables'!S23,'Data Tables'!T23),IF($K$14="575-600",IF($K$15="Yes",'Data Tables'!S23,'Data Tables'!T23),IF($K$14="600-625",IF($K$15="Yes",'Data Tables'!Y23,'Data Tables'!Z23),IF($K$14="625-650",IF($K$15="Yes",'Data Tables'!Y23,'Data Tables'!Z23),IF($K$14="650-675",IF($K$15="Yes",'Data Tables'!Y23,'Data Tables'!Z23),IF($K$14="675-700",IF($K$15="Yes",'Data Tables'!Y23,'Data Tables'!Z23),IF($K$14="700-750",IF($K$15="Yes",'Data Tables'!AE23,'Data Tables'!AF23),IF($K$14="750-800",IF($K$15="Yes",'Data Tables'!AE23,'Data Tables'!AF23),IF($K$14="800-850",IF($K$15="Yes",'Data Tables'!AE23,'Data Tables'!AF23),IF($K$15="Yes",'Data Tables'!AE23,'Data Tables'!AF23)))))))))),IF($K$13="Impermeable - drained for arable",IF($K$14="550-575",IF($K$15="Yes",'Data Tables'!U23,'Data Tables'!V23),IF($K$14="575-600",IF($K$15="Yes",'Data Tables'!U23,'Data Tables'!V23),IF($K$14="600-625",IF($K$15="Yes",'Data Tables'!AA23,'Data Tables'!AB23),IF($K$14="625-650",IF($K$15="Yes",'Data Tables'!AA23,'Data Tables'!AB23),IF($K$14="650-675",IF($K$15="Yes",'Data Tables'!AA23,'Data Tables'!AB23),IF($K$14="675-700",IF($K$15="Yes",'Data Tables'!AA23,'Data Tables'!AB23),IF($K$14="700-750",IF($K$15="Yes",'Data Tables'!AG23,'Data Tables'!AH23),IF($K$14="750-800",IF($K$15="Yes",'Data Tables'!AG23,'Data Tables'!AH23),IF($K$14="800-850",IF($K$15="Yes",'Data Tables'!AG23,'Data Tables'!AH23),IF($K$15="Yes",'Data Tables'!AG23,'Data Tables'!AH23)))))))))),IF($K$14="550-575",IF($K$15="Yes",'Data Tables'!W23,'Data Tables'!X23),IF($K$14="575-600",IF($K$15="Yes",'Data Tables'!W23,'Data Tables'!X23),IF($K$14="600-625",IF($K$15="Yes",'Data Tables'!AC23,'Data Tables'!AD23),IF($K$14="625-650",IF($K$15="Yes",'Data Tables'!AC23,'Data Tables'!AD23),IF($K$14="650-675",IF($K$15="Yes",'Data Tables'!AC23,'Data Tables'!AD23),IF($K$14="675-700",IF($K$15="Yes",'Data Tables'!AC23,'Data Tables'!AD23),IF($K$14="700-750",IF($K$15="Yes",'Data Tables'!AI23,'Data Tables'!AJ23),IF($K$14="750-800",IF($K$15="Yes",'Data Tables'!AI23,'Data Tables'!AJ23),IF($K$14="800-850",IF($K$15="Yes",'Data Tables'!AI23,'Data Tables'!AJ23),IF($K$15="Yes",'Data Tables'!AI23,'Data Tables'!AJ23)))))))))))))),($K34*(IF($K$13="Freely draining",IF($K$14="550-575",IF($K$15="Yes",'Data Tables'!S34,'Data Tables'!T34),IF($K$14="575-600",IF($K$15="Yes",'Data Tables'!S34,'Data Tables'!T34),IF($K$14="600-625",IF($K$15="Yes",'Data Tables'!Y34,'Data Tables'!Z34),IF($K$14="625-650",IF($K$15="Yes",'Data Tables'!Y34,'Data Tables'!Z34),IF($K$14="650-675",IF($K$15="Yes",'Data Tables'!Y34,'Data Tables'!Z34),IF($K$14="675-700",IF($K$15="Yes",'Data Tables'!Y34,'Data Tables'!Z34),IF($K$14="700-750",IF($K$15="Yes",'Data Tables'!AE34,'Data Tables'!AF34),IF($K$14="750-800",IF($K$15="Yes",'Data Tables'!AE34,'Data Tables'!AF34),IF($K$14="800-850",IF($K$15="Yes",'Data Tables'!AE34,'Data Tables'!AF34),IF($K$15="Yes",'Data Tables'!AE34,'Data Tables'!AF34)))))))))),IF($K$13="Impermeable - drained for arable",IF($K$14="550-575",IF($K$15="Yes",'Data Tables'!U34,'Data Tables'!V34),IF($K$14="575-600",IF($K$15="Yes",'Data Tables'!U34,'Data Tables'!V34),IF($K$14="600-625",IF($K$15="Yes",'Data Tables'!AA34,'Data Tables'!AB34),IF($K$14="625-650",IF($K$15="Yes",'Data Tables'!AA34,'Data Tables'!AB34),IF($K$14="650-675",IF($K$15="Yes",'Data Tables'!AA34,'Data Tables'!AB34),IF($K$14="675-700",IF($K$15="Yes",'Data Tables'!AA34,'Data Tables'!AB34),IF($K$14="700-750",IF($K$15="Yes",'Data Tables'!AG34,'Data Tables'!AH34),IF($K$14="750-800",IF($K$15="Yes",'Data Tables'!AG34,'Data Tables'!AH34),IF($K$14="800-850",IF($K$15="Yes",'Data Tables'!AG34,'Data Tables'!AH34),IF($K$15="Yes",'Data Tables'!AG34,'Data Tables'!AH34)))))))))),IF($K$14="550-575",IF($K$15="Yes",'Data Tables'!W34,'Data Tables'!X34),IF($K$14="575-600",IF($K$15="Yes",'Data Tables'!W34,'Data Tables'!X34),IF($K$14="600-625",IF($K$15="Yes",'Data Tables'!AC34,'Data Tables'!AD34),IF($K$14="625-650",IF($K$15="Yes",'Data Tables'!AC34,'Data Tables'!AD34),IF($K$14="650-675",IF($K$15="Yes",'Data Tables'!AC34,'Data Tables'!AD34),IF($K$14="675-700",IF($K$15="Yes",'Data Tables'!AC34,'Data Tables'!AD34),IF($K$14="700-750",IF($K$15="Yes",'Data Tables'!AI34,'Data Tables'!AJ34),IF($K$14="750-800",IF($K$15="Yes",'Data Tables'!AI34,'Data Tables'!AJ34),IF($K$14="800-850",IF($K$15="Yes",'Data Tables'!AI34,'Data Tables'!AJ34),IF($K$15="Yes",'Data Tables'!AI34,'Data Tables'!AJ34))))))))))))))))</f>
        <v>0</v>
      </c>
      <c r="P34" s="284"/>
      <c r="Q34" s="287">
        <f>IF($K$12="Wensum",($K34*(IF($K$13="Freely draining",IF($K$14="550-575",IF($K$15="Yes",'Data Tables'!AM12,'Data Tables'!AN12),IF($K$14="575-600",IF($K$15="Yes",'Data Tables'!AM12,'Data Tables'!AN12),IF($K$14="600-625",IF($K$15="Yes",'Data Tables'!AS12,'Data Tables'!AT12),IF($K$14="625-650",IF($K$15="Yes",'Data Tables'!AS12,'Data Tables'!AT12),IF($K$14="650-675",IF($K$15="Yes",'Data Tables'!AS12,'Data Tables'!AT12),IF($K$14="675-700",IF($K$15="Yes",'Data Tables'!AS12,'Data Tables'!AT12),IF($K$14="700-750",IF($K$15="Yes",'Data Tables'!AY12,'Data Tables'!AZ12),IF($K$14="750-800",IF($K$15="Yes",'Data Tables'!AY12,'Data Tables'!AZ12),IF($K$14="800-850",IF($K$15="Yes",'Data Tables'!AY12,'Data Tables'!AZ12),IF($K$15="Yes",'Data Tables'!AS12,'Data Tables'!AT12)))))))))),IF($K$13="Impermeable - drained for arable",IF($K$14="550-575",IF($K$15="Yes",'Data Tables'!AO12,'Data Tables'!AP12),IF($K$14="575-600",IF($K$15="Yes",'Data Tables'!AO12,'Data Tables'!AP12),IF($K$14="600-625",IF($K$15="Yes",'Data Tables'!AU12,'Data Tables'!AV12),IF($K$14="625-650",IF($K$15="Yes",'Data Tables'!AU12,'Data Tables'!AV12),IF($K$14="650-675",IF($K$15="Yes",'Data Tables'!AU12,'Data Tables'!AV12),IF($K$14="675-700",IF($K$15="Yes",'Data Tables'!AU12,'Data Tables'!AV12),IF($K$14="700-750",IF($K$15="Yes",'Data Tables'!BA12,'Data Tables'!BB12),IF($K$14="750-800",IF($K$15="Yes",'Data Tables'!BA12,'Data Tables'!BB12),IF($K$14="800-850",IF($K$15="Yes",'Data Tables'!BA12,'Data Tables'!BB12),IF($K$15="Yes",'Data Tables'!BA12,'Data Tables'!BB12)))))))))),IF($K$14="550-575",IF($K$15="Yes",'Data Tables'!AQ12,'Data Tables'!AR12),IF($K$14="575-600",IF($K$15="Yes",'Data Tables'!AQ12,'Data Tables'!AR12),IF($K$14="600-625",IF($K$15="Yes",'Data Tables'!AW12,'Data Tables'!AX12),IF($K$14="625-650",IF($K$15="Yes",'Data Tables'!AW12,'Data Tables'!AX12),IF($K$14="650-675",IF($K$15="Yes",'Data Tables'!AW12,'Data Tables'!AX12),IF($K$14="675-700",IF($K$15="Yes",'Data Tables'!AW12,'Data Tables'!AX12),IF($K$14="700-750",IF($K$15="Yes",'Data Tables'!BC12,'Data Tables'!BD12),IF($K$14="750-800",IF($K$15="Yes",'Data Tables'!BC12,'Data Tables'!BD12),IF($K$14="800-850",IF($K$15="Yes",'Data Tables'!BC12,'Data Tables'!BD12),IF($K$15="Yes",'Data Tables'!BC12,'Data Tables'!BD12)))))))))))))),IF($K$12="Yare",($K34*(IF($K$13="Freely draining",IF($K$14="550-575",IF($K$15="Yes",'Data Tables'!AM23,'Data Tables'!AN23),IF($K$14="575-600",IF($K$15="Yes",'Data Tables'!AM23,'Data Tables'!AN23),IF($K$14="600-625",IF($K$15="Yes",'Data Tables'!AS23,'Data Tables'!AT23),IF($K$14="625-650",IF($K$15="Yes",'Data Tables'!AS23,'Data Tables'!AT23),IF($K$14="650-675",IF($K$15="Yes",'Data Tables'!AS23,'Data Tables'!AT23),IF($K$14="675-700",IF($K$15="Yes",'Data Tables'!AS23,'Data Tables'!AT23),IF($K$14="700-750",IF($K$15="Yes",'Data Tables'!AY23,'Data Tables'!AZ23),IF($K$14="750-800",IF($K$15="Yes",'Data Tables'!AY23,'Data Tables'!AZ23),IF($K$14="800-850",IF($K$15="Yes",'Data Tables'!AY23,'Data Tables'!AZ23),IF($K$15="Yes",'Data Tables'!AY23,'Data Tables'!AZ23)))))))))),IF($K$13="Impermeable - drained for arable",IF($K$14="550-575",IF($K$15="Yes",'Data Tables'!AO23,'Data Tables'!AP23),IF($K$14="575-600",IF($K$15="Yes",'Data Tables'!AO23,'Data Tables'!AP23),IF($K$14="600-625",IF($K$15="Yes",'Data Tables'!AU23,'Data Tables'!AV23),IF($K$14="625-650",IF($K$15="Yes",'Data Tables'!AU23,'Data Tables'!AV23),IF($K$14="650-675",IF($K$15="Yes",'Data Tables'!AU23,'Data Tables'!AV23),IF($K$14="675-700",IF($K$15="Yes",'Data Tables'!AU23,'Data Tables'!AV23),IF($K$14="700-750",IF($K$15="Yes",'Data Tables'!BA23,'Data Tables'!BB23),IF($K$14="750-800",IF($K$15="Yes",'Data Tables'!BA23,'Data Tables'!BB23),IF($K$14="800-850",IF($K$15="Yes",'Data Tables'!BA23,'Data Tables'!BB23),IF($K$15="Yes",'Data Tables'!BA23,'Data Tables'!BB23)))))))))),IF($K$14="550-575",IF($K$15="Yes",'Data Tables'!AQ23,'Data Tables'!AR23),IF($K$14="575-600",IF($K$15="Yes",'Data Tables'!AQ23,'Data Tables'!AR23),IF($K$14="600-625",IF($K$15="Yes",'Data Tables'!AW23,'Data Tables'!AX23),IF($K$14="625-650",IF($K$15="Yes",'Data Tables'!AW23,'Data Tables'!AX23),IF($K$14="650-675",IF($K$15="Yes",'Data Tables'!AW23,'Data Tables'!AX23),IF($K$14="675-700",IF($K$15="Yes",'Data Tables'!AW23,'Data Tables'!AX23),IF($K$14="700-750",IF($K$15="Yes",'Data Tables'!BC23,'Data Tables'!BD23),IF($K$14="750-800",IF($K$15="Yes",'Data Tables'!BC23,'Data Tables'!BD23),IF($K$14="800-850",IF($K$15="Yes",'Data Tables'!BC23,'Data Tables'!BD23),IF($K$15="Yes",'Data Tables'!BC23,'Data Tables'!BD23)))))))))))))),($K34*(IF($K$13="Freely draining",IF($K$14="550-575",IF($K$15="Yes",'Data Tables'!AM34,'Data Tables'!AN34),IF($K$14="575-600",IF($K$15="Yes",'Data Tables'!AM34,'Data Tables'!AN34),IF($K$14="600-625",IF($K$15="Yes",'Data Tables'!AS34,'Data Tables'!AT34),IF($K$14="625-650",IF($K$15="Yes",'Data Tables'!AS34,'Data Tables'!AT34),IF($K$14="650-675",IF($K$15="Yes",'Data Tables'!AS34,'Data Tables'!AT34),IF($K$14="675-700",IF($K$15="Yes",'Data Tables'!AS34,'Data Tables'!AT34),IF($K$14="700-750",IF($K$15="Yes",'Data Tables'!AY34,'Data Tables'!AZ34),IF($K$14="750-800",IF($K$15="Yes",'Data Tables'!AY34,'Data Tables'!AZ34),IF($K$14="800-850",IF($K$15="Yes",'Data Tables'!AY34,'Data Tables'!AZ34),IF($K$15="Yes",'Data Tables'!AY34,'Data Tables'!AZ34)))))))))),IF($K$13="Impermeable - drained for arable",IF($K$14="550-575",IF($K$15="Yes",'Data Tables'!AO34,'Data Tables'!AP34),IF($K$14="575-600",IF($K$15="Yes",'Data Tables'!AO34,'Data Tables'!AP34),IF($K$14="600-625",IF($K$15="Yes",'Data Tables'!AU34,'Data Tables'!AV34),IF($K$14="625-650",IF($K$15="Yes",'Data Tables'!AU34,'Data Tables'!AV34),IF($K$14="650-675",IF($K$15="Yes",'Data Tables'!AU34,'Data Tables'!AV34),IF($K$14="675-700",IF($K$15="Yes",'Data Tables'!AU34,'Data Tables'!AV34),IF($K$14="700-750",IF($K$15="Yes",'Data Tables'!BA34,'Data Tables'!BB34),IF($K$14="750-800",IF($K$15="Yes",'Data Tables'!BA34,'Data Tables'!BB34),IF($K$14="800-850",IF($K$15="Yes",'Data Tables'!BA34,'Data Tables'!BB34),IF($K$15="Yes",'Data Tables'!BA34,'Data Tables'!BB34)))))))))),IF($K$14="550-575",IF($K$15="Yes",'Data Tables'!AQ34,'Data Tables'!AR34),IF($K$14="575-600",IF($K$15="Yes",'Data Tables'!AQ34,'Data Tables'!AR34),IF($K$14="600-625",IF($K$15="Yes",'Data Tables'!AW34,'Data Tables'!AX34),IF($K$14="625-650",IF($K$15="Yes",'Data Tables'!AW34,'Data Tables'!AX34),IF($K$14="650-675",IF($K$15="Yes",'Data Tables'!AW34,'Data Tables'!AX34),IF($K$14="675-700",IF($K$15="Yes",'Data Tables'!AW34,'Data Tables'!AX34),IF($K$14="700-750",IF($K$15="Yes",'Data Tables'!BC34,'Data Tables'!BD34),IF($K$14="750-800",IF($K$15="Yes",'Data Tables'!BC34,'Data Tables'!BD34),IF($K$14="800-850",IF($K$15="Yes",'Data Tables'!BC34,'Data Tables'!BD34),IF($K$15="Yes",'Data Tables'!BC34,'Data Tables'!BD34))))))))))))))))</f>
        <v>0</v>
      </c>
      <c r="R34" s="288"/>
      <c r="S34" s="49" t="s">
        <v>391</v>
      </c>
      <c r="T34" s="6"/>
      <c r="W34" s="113"/>
      <c r="X34" s="113"/>
      <c r="Y34" s="113"/>
      <c r="Z34" s="113"/>
      <c r="AA34" s="113"/>
      <c r="AB34" s="113"/>
      <c r="AC34" s="113"/>
      <c r="AD34" s="113"/>
      <c r="AE34" s="113"/>
      <c r="AF34" s="113"/>
      <c r="AG34" s="113"/>
      <c r="AH34" s="113"/>
      <c r="AI34" s="113"/>
      <c r="AJ34" s="113"/>
      <c r="AK34" s="113"/>
      <c r="AL34" s="113"/>
      <c r="AM34" s="113"/>
      <c r="AN34" s="113"/>
      <c r="AO34" s="113"/>
      <c r="AQ34" s="113"/>
      <c r="AR34" s="113"/>
      <c r="AS34" s="113"/>
      <c r="AT34" s="113"/>
      <c r="AU34" s="113"/>
      <c r="AV34" s="113"/>
      <c r="AW34" s="113"/>
      <c r="AX34" s="113"/>
      <c r="AY34" s="113"/>
      <c r="AZ34" s="113"/>
      <c r="BA34" s="113"/>
      <c r="BB34" s="113"/>
      <c r="BC34" s="113"/>
    </row>
    <row r="35" spans="2:55" ht="14.55" customHeight="1" x14ac:dyDescent="0.3">
      <c r="B35" s="4"/>
      <c r="C35" s="42"/>
      <c r="D35" s="227"/>
      <c r="E35" s="49"/>
      <c r="F35" s="375" t="str">
        <f>'Data Tables'!N3</f>
        <v>Allotments and city farms</v>
      </c>
      <c r="G35" s="375"/>
      <c r="H35" s="375"/>
      <c r="I35" s="375"/>
      <c r="J35" s="375"/>
      <c r="K35" s="282"/>
      <c r="L35" s="240" t="s">
        <v>17</v>
      </c>
      <c r="M35" s="49"/>
      <c r="N35" s="49"/>
      <c r="O35" s="287">
        <f>IF($K$12="Wensum",($K35*(IF($K$13="Freely draining",IF($K$14="550-575",IF($K$15="Yes",'Data Tables'!S13,'Data Tables'!T13),IF($K$14="575-600",IF($K$15="Yes",'Data Tables'!S13,'Data Tables'!T13),IF($K$14="600-625",IF($K$15="Yes",'Data Tables'!Y13,'Data Tables'!Z13),IF($K$14="625-650",IF($K$15="Yes",'Data Tables'!Y13,'Data Tables'!Z13),IF($K$14="650-675",IF($K$15="Yes",'Data Tables'!Y13,'Data Tables'!Z13),IF($K$14="675-700",IF($K$15="Yes",'Data Tables'!Y13,'Data Tables'!Z13),IF($K$14="700-750",IF($K$15="Yes",'Data Tables'!AE13,'Data Tables'!AF13),IF($K$14="750-800",IF($K$15="Yes",'Data Tables'!AE13,'Data Tables'!AF13),IF($K$14="800-850",IF($K$15="Yes",'Data Tables'!AE13,'Data Tables'!AF13),IF($K$15="Yes",'Data Tables'!AE13,'Data Tables'!AF13)))))))))),IF($K$13="Impermeable - drained for arable",IF($K$14="550-575",IF($K$15="Yes",'Data Tables'!U13,'Data Tables'!V13),IF($K$14="575-600",IF($K$15="Yes",'Data Tables'!U13,'Data Tables'!V13),IF($K$14="600-625",IF($K$15="Yes",'Data Tables'!AA13,'Data Tables'!AB13),IF($K$14="625-650",IF($K$15="Yes",'Data Tables'!AA13,'Data Tables'!AB13),IF($K$14="650-675",IF($K$15="Yes",'Data Tables'!AA13,'Data Tables'!AB13),IF($K$14="675-700",IF($K$15="Yes",'Data Tables'!AA13,'Data Tables'!AB13),IF($K$14="700-750",IF($K$15="Yes",'Data Tables'!AG13,'Data Tables'!AH13),IF($K$14="750-800",IF($K$15="Yes",'Data Tables'!AG13,'Data Tables'!AH13),IF($K$14="800-850",IF($K$15="Yes",'Data Tables'!AG13,'Data Tables'!AH13),IF($K$15="Yes",'Data Tables'!AG13,'Data Tables'!AH13)))))))))),IF($K$14="550-575",IF($K$15="Yes",'Data Tables'!W13,'Data Tables'!X13),IF($K$14="575-600",IF($K$15="Yes",'Data Tables'!W13,'Data Tables'!X13),IF($K$14="600-625",IF($K$15="Yes",'Data Tables'!AC13,'Data Tables'!AD13),IF($K$14="625-650",IF($K$15="Yes",'Data Tables'!AC13,'Data Tables'!AD13),IF($K$14="650-675",IF($K$15="Yes",'Data Tables'!AC13,'Data Tables'!AD13),IF($K$14="675-700",IF($K$15="Yes",'Data Tables'!AC13,'Data Tables'!AD13),IF($K$14="700-750",IF($K$15="Yes",'Data Tables'!AI13,'Data Tables'!AJ13),IF($K$14="750-800",IF($K$15="Yes",'Data Tables'!AI13,'Data Tables'!AJ13),IF($K$14="800-850",IF($K$15="Yes",'Data Tables'!AI13,'Data Tables'!AJ13),IF($K$15="Yes",'Data Tables'!AI13,'Data Tables'!AJ13)))))))))))))),IF($K$12="Yare",($K35*(IF($K$13="Freely draining",IF($K$14="550-575",IF($K$15="Yes",'Data Tables'!S24,'Data Tables'!T24),IF($K$14="575-600",IF($K$15="Yes",'Data Tables'!S24,'Data Tables'!T24),IF($K$14="600-625",IF($K$15="Yes",'Data Tables'!Y24,'Data Tables'!Z24),IF($K$14="625-650",IF($K$15="Yes",'Data Tables'!Y24,'Data Tables'!Z24),IF($K$14="650-675",IF($K$15="Yes",'Data Tables'!Y24,'Data Tables'!Z24),IF($K$14="675-700",IF($K$15="Yes",'Data Tables'!Y24,'Data Tables'!Z24),IF($K$14="700-750",IF($K$15="Yes",'Data Tables'!AE24,'Data Tables'!AF24),IF($K$14="750-800",IF($K$15="Yes",'Data Tables'!AE24,'Data Tables'!AF24),IF($K$14="800-850",IF($K$15="Yes",'Data Tables'!AE24,'Data Tables'!AF24),IF($K$15="Yes",'Data Tables'!AE24,'Data Tables'!AF24)))))))))),IF($K$13="Impermeable - drained for arable",IF($K$14="550-575",IF($K$15="Yes",'Data Tables'!U24,'Data Tables'!V24),IF($K$14="575-600",IF($K$15="Yes",'Data Tables'!U24,'Data Tables'!V24),IF($K$14="600-625",IF($K$15="Yes",'Data Tables'!AA24,'Data Tables'!AB24),IF($K$14="625-650",IF($K$15="Yes",'Data Tables'!AA24,'Data Tables'!AB24),IF($K$14="650-675",IF($K$15="Yes",'Data Tables'!AA24,'Data Tables'!AB24),IF($K$14="675-700",IF($K$15="Yes",'Data Tables'!AA24,'Data Tables'!AB24),IF($K$14="700-750",IF($K$15="Yes",'Data Tables'!AG24,'Data Tables'!AH24),IF($K$14="750-800",IF($K$15="Yes",'Data Tables'!AG24,'Data Tables'!AH24),IF($K$14="800-850",IF($K$15="Yes",'Data Tables'!AG24,'Data Tables'!AH24),IF($K$15="Yes",'Data Tables'!AG24,'Data Tables'!AH24)))))))))),IF($K$14="550-575",IF($K$15="Yes",'Data Tables'!W24,'Data Tables'!X24),IF($K$14="575-600",IF($K$15="Yes",'Data Tables'!W24,'Data Tables'!X24),IF($K$14="600-625",IF($K$15="Yes",'Data Tables'!AC24,'Data Tables'!AD24),IF($K$14="625-650",IF($K$15="Yes",'Data Tables'!AC24,'Data Tables'!AD24),IF($K$14="650-675",IF($K$15="Yes",'Data Tables'!AC24,'Data Tables'!AD24),IF($K$14="675-700",IF($K$15="Yes",'Data Tables'!AC24,'Data Tables'!AD24),IF($K$14="700-750",IF($K$15="Yes",'Data Tables'!AI24,'Data Tables'!AJ24),IF($K$14="750-800",IF($K$15="Yes",'Data Tables'!AI24,'Data Tables'!AJ24),IF($K$14="800-850",IF($K$15="Yes",'Data Tables'!AI24,'Data Tables'!AJ24),IF($K$15="Yes",'Data Tables'!AI24,'Data Tables'!AJ24)))))))))))))),($K35*(IF($K$13="Freely draining",IF($K$14="550-575",IF($K$15="Yes",'Data Tables'!S35,'Data Tables'!T35),IF($K$14="575-600",IF($K$15="Yes",'Data Tables'!S35,'Data Tables'!T35),IF($K$14="600-625",IF($K$15="Yes",'Data Tables'!Y35,'Data Tables'!Z35),IF($K$14="625-650",IF($K$15="Yes",'Data Tables'!Y35,'Data Tables'!Z35),IF($K$14="650-675",IF($K$15="Yes",'Data Tables'!Y35,'Data Tables'!Z35),IF($K$14="675-700",IF($K$15="Yes",'Data Tables'!Y35,'Data Tables'!Z35),IF($K$14="700-750",IF($K$15="Yes",'Data Tables'!AE35,'Data Tables'!AF35),IF($K$14="750-800",IF($K$15="Yes",'Data Tables'!AE35,'Data Tables'!AF35),IF($K$14="800-850",IF($K$15="Yes",'Data Tables'!AE35,'Data Tables'!AF35),IF($K$15="Yes",'Data Tables'!AE35,'Data Tables'!AF35)))))))))),IF($K$13="Impermeable - drained for arable",IF($K$14="550-575",IF($K$15="Yes",'Data Tables'!U35,'Data Tables'!V35),IF($K$14="575-600",IF($K$15="Yes",'Data Tables'!U35,'Data Tables'!V35),IF($K$14="600-625",IF($K$15="Yes",'Data Tables'!AA35,'Data Tables'!AB35),IF($K$14="625-650",IF($K$15="Yes",'Data Tables'!AA35,'Data Tables'!AB35),IF($K$14="650-675",IF($K$15="Yes",'Data Tables'!AA35,'Data Tables'!AB35),IF($K$14="675-700",IF($K$15="Yes",'Data Tables'!AA35,'Data Tables'!AB35),IF($K$14="700-750",IF($K$15="Yes",'Data Tables'!AG35,'Data Tables'!AH35),IF($K$14="750-800",IF($K$15="Yes",'Data Tables'!AG35,'Data Tables'!AH35),IF($K$14="800-850",IF($K$15="Yes",'Data Tables'!AG35,'Data Tables'!AH35),IF($K$15="Yes",'Data Tables'!AG35,'Data Tables'!AH35)))))))))),IF($K$14="550-575",IF($K$15="Yes",'Data Tables'!W35,'Data Tables'!X35),IF($K$14="575-600",IF($K$15="Yes",'Data Tables'!W35,'Data Tables'!X35),IF($K$14="600-625",IF($K$15="Yes",'Data Tables'!AC35,'Data Tables'!AD35),IF($K$14="625-650",IF($K$15="Yes",'Data Tables'!AC35,'Data Tables'!AD35),IF($K$14="650-675",IF($K$15="Yes",'Data Tables'!AC35,'Data Tables'!AD35),IF($K$14="675-700",IF($K$15="Yes",'Data Tables'!AC35,'Data Tables'!AD35),IF($K$14="700-750",IF($K$15="Yes",'Data Tables'!AI35,'Data Tables'!AJ35),IF($K$14="750-800",IF($K$15="Yes",'Data Tables'!AI35,'Data Tables'!AJ35),IF($K$14="800-850",IF($K$15="Yes",'Data Tables'!AI35,'Data Tables'!AJ35),IF($K$15="Yes",'Data Tables'!AI35,'Data Tables'!AJ35))))))))))))))))</f>
        <v>0</v>
      </c>
      <c r="P35" s="289"/>
      <c r="Q35" s="287">
        <f>IF($K$12="Wensum",($K35*(IF($K$13="Freely draining",IF($K$14="550-575",IF($K$15="Yes",'Data Tables'!AM13,'Data Tables'!AN13),IF($K$14="575-600",IF($K$15="Yes",'Data Tables'!AM13,'Data Tables'!AN13),IF($K$14="600-625",IF($K$15="Yes",'Data Tables'!AS13,'Data Tables'!AT13),IF($K$14="625-650",IF($K$15="Yes",'Data Tables'!AS13,'Data Tables'!AT13),IF($K$14="650-675",IF($K$15="Yes",'Data Tables'!AS13,'Data Tables'!AT13),IF($K$14="675-700",IF($K$15="Yes",'Data Tables'!AS13,'Data Tables'!AT13),IF($K$14="700-750",IF($K$15="Yes",'Data Tables'!AY13,'Data Tables'!AZ13),IF($K$14="750-800",IF($K$15="Yes",'Data Tables'!AY13,'Data Tables'!AZ13),IF($K$14="800-850",IF($K$15="Yes",'Data Tables'!AY13,'Data Tables'!AZ13),IF($K$15="Yes",'Data Tables'!AY13,'Data Tables'!AZ13)))))))))),IF($K$13="Impermeable - drained for arable",IF($K$14="550-575",IF($K$15="Yes",'Data Tables'!AO13,'Data Tables'!AP13),IF($K$14="575-600",IF($K$15="Yes",'Data Tables'!AO13,'Data Tables'!AP13),IF($K$14="600-625",IF($K$15="Yes",'Data Tables'!AU13,'Data Tables'!AV13),IF($K$14="625-650",IF($K$15="Yes",'Data Tables'!AU13,'Data Tables'!AV13),IF($K$14="650-675",IF($K$15="Yes",'Data Tables'!AU13,'Data Tables'!AV13),IF($K$14="675-700",IF($K$15="Yes",'Data Tables'!AU13,'Data Tables'!AV13),IF($K$14="700-750",IF($K$15="Yes",'Data Tables'!BA13,'Data Tables'!BB13),IF($K$14="750-800",IF($K$15="Yes",'Data Tables'!BA13,'Data Tables'!BB13),IF($K$14="800-850",IF($K$15="Yes",'Data Tables'!BA13,'Data Tables'!BB13),IF($K$15="Yes",'Data Tables'!BA13,'Data Tables'!BB13)))))))))),IF($K$14="550-575",IF($K$15="Yes",'Data Tables'!AQ13,'Data Tables'!AR13),IF($K$14="575-600",IF($K$15="Yes",'Data Tables'!AQ13,'Data Tables'!AR13),IF($K$14="600-625",IF($K$15="Yes",'Data Tables'!AW13,'Data Tables'!AX13),IF($K$14="625-650",IF($K$15="Yes",'Data Tables'!AW13,'Data Tables'!AX13),IF($K$14="650-675",IF($K$15="Yes",'Data Tables'!AW13,'Data Tables'!AX13),IF($K$14="675-700",IF($K$15="Yes",'Data Tables'!AW13,'Data Tables'!AX13),IF($K$14="700-750",IF($K$15="Yes",'Data Tables'!BC13,'Data Tables'!BD13),IF($K$14="750-800",IF($K$15="Yes",'Data Tables'!BC13,'Data Tables'!BD13),IF($K$14="800-850",IF($K$15="Yes",'Data Tables'!BC13,'Data Tables'!BD13),IF($K$15="Yes",'Data Tables'!BC13,'Data Tables'!BD13)))))))))))))),IF($K$12="Yare",($K35*(IF($K$13="Freely draining",IF($K$14="550-575",IF($K$15="Yes",'Data Tables'!AM24,'Data Tables'!AN24),IF($K$14="575-600",IF($K$15="Yes",'Data Tables'!AM24,'Data Tables'!AN24),IF($K$14="600-625",IF($K$15="Yes",'Data Tables'!AS24,'Data Tables'!AT24),IF($K$14="625-650",IF($K$15="Yes",'Data Tables'!AS24,'Data Tables'!AT24),IF($K$14="650-675",IF($K$15="Yes",'Data Tables'!AS24,'Data Tables'!AT24),IF($K$14="675-700",IF($K$15="Yes",'Data Tables'!AS24,'Data Tables'!AT24),IF($K$14="700-750",IF($K$15="Yes",'Data Tables'!AY24,'Data Tables'!AZ24),IF($K$14="750-800",IF($K$15="Yes",'Data Tables'!AY24,'Data Tables'!AZ24),IF($K$14="800-850",IF($K$15="Yes",'Data Tables'!AY24,'Data Tables'!AZ24),IF($K$15="Yes",'Data Tables'!AY24,'Data Tables'!AZ24)))))))))),IF($K$13="Impermeable - drained for arable",IF($K$14="550-575",IF($K$15="Yes",'Data Tables'!AO24,'Data Tables'!AP24),IF($K$14="575-600",IF($K$15="Yes",'Data Tables'!AO24,'Data Tables'!AP24),IF($K$14="600-625",IF($K$15="Yes",'Data Tables'!AU24,'Data Tables'!AV24),IF($K$14="625-650",IF($K$15="Yes",'Data Tables'!AU24,'Data Tables'!AV24),IF($K$14="650-675",IF($K$15="Yes",'Data Tables'!AU24,'Data Tables'!AV24),IF($K$14="675-700",IF($K$15="Yes",'Data Tables'!AU24,'Data Tables'!AV24),IF($K$14="700-750",IF($K$15="Yes",'Data Tables'!BA24,'Data Tables'!BB24),IF($K$14="750-800",IF($K$15="Yes",'Data Tables'!BA24,'Data Tables'!BB24),IF($K$14="800-850",IF($K$15="Yes",'Data Tables'!BA24,'Data Tables'!BB24),IF($K$15="Yes",'Data Tables'!BA24,'Data Tables'!BB24)))))))))),IF($K$14="550-575",IF($K$15="Yes",'Data Tables'!AQ24,'Data Tables'!AR24),IF($K$14="575-600",IF($K$15="Yes",'Data Tables'!AQ24,'Data Tables'!AR24),IF($K$14="600-625",IF($K$15="Yes",'Data Tables'!AW24,'Data Tables'!AX24),IF($K$14="625-650",IF($K$15="Yes",'Data Tables'!AW24,'Data Tables'!AX24),IF($K$14="650-675",IF($K$15="Yes",'Data Tables'!AW24,'Data Tables'!AX24),IF($K$14="675-700",IF($K$15="Yes",'Data Tables'!AW24,'Data Tables'!AX24),IF($K$14="700-750",IF($K$15="Yes",'Data Tables'!BC24,'Data Tables'!BD24),IF($K$14="750-800",IF($K$15="Yes",'Data Tables'!BC24,'Data Tables'!BD24),IF($K$14="800-850",IF($K$15="Yes",'Data Tables'!BC24,'Data Tables'!BD24),IF($K$15="Yes",'Data Tables'!BC24,'Data Tables'!BD24)))))))))))))),($K35*(IF($K$13="Freely draining",IF($K$14="550-575",IF($K$15="Yes",'Data Tables'!AM35,'Data Tables'!AN35),IF($K$14="575-600",IF($K$15="Yes",'Data Tables'!AM35,'Data Tables'!AN35),IF($K$14="600-625",IF($K$15="Yes",'Data Tables'!AS35,'Data Tables'!AT35),IF($K$14="625-650",IF($K$15="Yes",'Data Tables'!AS35,'Data Tables'!AT35),IF($K$14="650-675",IF($K$15="Yes",'Data Tables'!AS35,'Data Tables'!AT35),IF($K$14="675-700",IF($K$15="Yes",'Data Tables'!AS35,'Data Tables'!AT35),IF($K$14="700-750",IF($K$15="Yes",'Data Tables'!AY35,'Data Tables'!AZ35),IF($K$14="750-800",IF($K$15="Yes",'Data Tables'!AY35,'Data Tables'!AZ35),IF($K$14="800-850",IF($K$15="Yes",'Data Tables'!AY35,'Data Tables'!AZ35),IF($K$15="Yes",'Data Tables'!AY35,'Data Tables'!AZ35)))))))))),IF($K$13="Impermeable - drained for arable",IF($K$14="550-575",IF($K$15="Yes",'Data Tables'!AO35,'Data Tables'!AP35),IF($K$14="575-600",IF($K$15="Yes",'Data Tables'!AO35,'Data Tables'!AP35),IF($K$14="600-625",IF($K$15="Yes",'Data Tables'!AU35,'Data Tables'!AV35),IF($K$14="625-650",IF($K$15="Yes",'Data Tables'!AU35,'Data Tables'!AV35),IF($K$14="650-675",IF($K$15="Yes",'Data Tables'!AU35,'Data Tables'!AV35),IF($K$14="675-700",IF($K$15="Yes",'Data Tables'!AU35,'Data Tables'!AV35),IF($K$14="700-750",IF($K$15="Yes",'Data Tables'!BA35,'Data Tables'!BB35),IF($K$14="750-800",IF($K$15="Yes",'Data Tables'!BA35,'Data Tables'!BB35),IF($K$14="800-850",IF($K$15="Yes",'Data Tables'!BA35,'Data Tables'!BB35),IF($K$15="Yes",'Data Tables'!BA35,'Data Tables'!BB35)))))))))),IF($K$14="550-575",IF($K$15="Yes",'Data Tables'!AQ35,'Data Tables'!AR35),IF($K$14="575-600",IF($K$15="Yes",'Data Tables'!AQ35,'Data Tables'!AR35),IF($K$14="600-625",IF($K$15="Yes",'Data Tables'!AW35,'Data Tables'!AX35),IF($K$14="625-650",IF($K$15="Yes",'Data Tables'!AW35,'Data Tables'!AX35),IF($K$14="650-675",IF($K$15="Yes",'Data Tables'!AW35,'Data Tables'!AX35),IF($K$14="675-700",IF($K$15="Yes",'Data Tables'!AW35,'Data Tables'!AX35),IF($K$14="700-750",IF($K$15="Yes",'Data Tables'!BC35,'Data Tables'!BD35),IF($K$14="750-800",IF($K$15="Yes",'Data Tables'!BC35,'Data Tables'!BD35),IF($K$14="800-850",IF($K$15="Yes",'Data Tables'!BC35,'Data Tables'!BD35),IF($K$15="Yes",'Data Tables'!BC35,'Data Tables'!BD35))))))))))))))))</f>
        <v>0</v>
      </c>
      <c r="R35" s="288"/>
      <c r="S35" s="49" t="s">
        <v>391</v>
      </c>
      <c r="T35" s="6"/>
      <c r="V35" s="113"/>
      <c r="W35" s="13"/>
      <c r="X35" s="13"/>
      <c r="Y35" s="13"/>
      <c r="Z35" s="13"/>
      <c r="AA35" s="13"/>
      <c r="AB35" s="13"/>
      <c r="AC35" s="13"/>
      <c r="AD35" s="13"/>
      <c r="AE35" s="13"/>
      <c r="AF35" s="13"/>
      <c r="AG35" s="13"/>
      <c r="AH35" s="13"/>
    </row>
    <row r="36" spans="2:55" ht="14.55" customHeight="1" x14ac:dyDescent="0.3">
      <c r="B36" s="4"/>
      <c r="C36" s="42"/>
      <c r="D36" s="227"/>
      <c r="E36" s="49"/>
      <c r="F36" s="375" t="s">
        <v>150</v>
      </c>
      <c r="G36" s="375"/>
      <c r="H36" s="375"/>
      <c r="I36" s="375"/>
      <c r="J36" s="375"/>
      <c r="K36" s="282"/>
      <c r="L36" s="240" t="s">
        <v>17</v>
      </c>
      <c r="M36" s="49"/>
      <c r="N36" s="49"/>
      <c r="O36" s="285">
        <f>K36*'Data Tables'!O5</f>
        <v>0</v>
      </c>
      <c r="P36" s="289"/>
      <c r="Q36" s="285">
        <f>K36*'Data Tables'!P5</f>
        <v>0</v>
      </c>
      <c r="R36" s="286"/>
      <c r="S36" s="49" t="s">
        <v>391</v>
      </c>
      <c r="T36" s="6"/>
      <c r="V36" s="113"/>
    </row>
    <row r="37" spans="2:55" ht="14.55" customHeight="1" x14ac:dyDescent="0.3">
      <c r="B37" s="4"/>
      <c r="C37" s="42"/>
      <c r="D37" s="227"/>
      <c r="E37" s="49"/>
      <c r="F37" s="375" t="s">
        <v>394</v>
      </c>
      <c r="G37" s="375"/>
      <c r="H37" s="375"/>
      <c r="I37" s="375"/>
      <c r="J37" s="375"/>
      <c r="K37" s="282"/>
      <c r="L37" s="240" t="s">
        <v>17</v>
      </c>
      <c r="M37" s="49"/>
      <c r="N37" s="49"/>
      <c r="O37" s="285">
        <f>K37*'Data Tables'!O4</f>
        <v>0</v>
      </c>
      <c r="P37" s="289"/>
      <c r="Q37" s="285">
        <f>K37*'Data Tables'!P4</f>
        <v>0</v>
      </c>
      <c r="R37" s="286"/>
      <c r="S37" s="49" t="s">
        <v>391</v>
      </c>
      <c r="T37" s="6"/>
    </row>
    <row r="38" spans="2:55" ht="14.55" customHeight="1" x14ac:dyDescent="0.3">
      <c r="B38" s="4"/>
      <c r="C38" s="42"/>
      <c r="D38" s="227"/>
      <c r="E38" s="49"/>
      <c r="F38" s="375" t="s">
        <v>231</v>
      </c>
      <c r="G38" s="375"/>
      <c r="H38" s="375"/>
      <c r="I38" s="375"/>
      <c r="J38" s="375"/>
      <c r="K38" s="282"/>
      <c r="L38" s="240" t="s">
        <v>17</v>
      </c>
      <c r="M38" s="49"/>
      <c r="N38" s="49"/>
      <c r="O38" s="285">
        <f>K38*'Data Tables'!O6</f>
        <v>0</v>
      </c>
      <c r="P38" s="289"/>
      <c r="Q38" s="285">
        <f>K38*'Data Tables'!P6</f>
        <v>0</v>
      </c>
      <c r="R38" s="286"/>
      <c r="S38" s="49" t="s">
        <v>391</v>
      </c>
      <c r="T38" s="6"/>
      <c r="W38" s="74"/>
      <c r="X38" s="74"/>
      <c r="Y38" s="74"/>
      <c r="Z38" s="74"/>
      <c r="AA38" s="74"/>
      <c r="AB38" s="74"/>
      <c r="AC38" s="74"/>
      <c r="AD38" s="74"/>
      <c r="AE38" s="74"/>
      <c r="AF38" s="74"/>
      <c r="AG38" s="74"/>
      <c r="AH38" s="74"/>
    </row>
    <row r="39" spans="2:55" ht="14.55" customHeight="1" x14ac:dyDescent="0.3">
      <c r="B39" s="4"/>
      <c r="C39" s="42"/>
      <c r="D39" s="227"/>
      <c r="E39" s="49"/>
      <c r="F39" s="375" t="s">
        <v>393</v>
      </c>
      <c r="G39" s="375"/>
      <c r="H39" s="375"/>
      <c r="I39" s="375"/>
      <c r="J39" s="375"/>
      <c r="K39" s="282"/>
      <c r="L39" s="240" t="s">
        <v>17</v>
      </c>
      <c r="M39" s="49"/>
      <c r="N39" s="49"/>
      <c r="O39" s="285">
        <f>K39*'Data Tables'!O7</f>
        <v>0</v>
      </c>
      <c r="P39" s="289"/>
      <c r="Q39" s="285">
        <f>K39*'Data Tables'!P7</f>
        <v>0</v>
      </c>
      <c r="R39" s="286"/>
      <c r="S39" s="49" t="s">
        <v>391</v>
      </c>
      <c r="T39" s="6"/>
      <c r="W39" s="73"/>
      <c r="X39" s="73"/>
      <c r="Y39" s="73"/>
      <c r="Z39" s="73"/>
      <c r="AA39" s="73"/>
      <c r="AB39" s="73"/>
      <c r="AC39" s="73"/>
      <c r="AD39" s="73"/>
      <c r="AE39" s="73"/>
      <c r="AF39" s="73"/>
      <c r="AG39" s="73"/>
      <c r="AH39" s="73"/>
      <c r="AI39" s="73"/>
    </row>
    <row r="40" spans="2:55" ht="7.5" customHeight="1" x14ac:dyDescent="0.3">
      <c r="B40" s="4"/>
      <c r="C40" s="42"/>
      <c r="D40" s="227"/>
      <c r="E40" s="49"/>
      <c r="F40" s="446" t="s">
        <v>392</v>
      </c>
      <c r="G40" s="446"/>
      <c r="H40" s="446"/>
      <c r="I40" s="446"/>
      <c r="J40" s="446"/>
      <c r="K40" s="49"/>
      <c r="L40" s="240"/>
      <c r="M40" s="49"/>
      <c r="N40" s="49"/>
      <c r="O40" s="49"/>
      <c r="P40" s="49"/>
      <c r="Q40" s="49"/>
      <c r="R40" s="286"/>
      <c r="S40" s="49"/>
      <c r="T40" s="6"/>
      <c r="W40" s="13"/>
      <c r="X40" s="13"/>
      <c r="Y40" s="13"/>
      <c r="Z40" s="13"/>
      <c r="AA40" s="13"/>
      <c r="AB40" s="13"/>
      <c r="AC40" s="13"/>
      <c r="AD40" s="13"/>
      <c r="AE40" s="13"/>
      <c r="AF40" s="13"/>
      <c r="AG40" s="13"/>
      <c r="AH40" s="13"/>
    </row>
    <row r="41" spans="2:55" ht="15.6" x14ac:dyDescent="0.3">
      <c r="B41" s="4"/>
      <c r="C41" s="42"/>
      <c r="D41" s="227"/>
      <c r="E41" s="49"/>
      <c r="F41" s="446"/>
      <c r="G41" s="446"/>
      <c r="H41" s="446"/>
      <c r="I41" s="446"/>
      <c r="J41" s="446"/>
      <c r="K41" s="290">
        <f>SUM(K22:K39)</f>
        <v>0</v>
      </c>
      <c r="L41" s="246" t="s">
        <v>17</v>
      </c>
      <c r="M41" s="49"/>
      <c r="N41" s="49"/>
      <c r="O41" s="291">
        <f>SUM(O22:O39)</f>
        <v>0</v>
      </c>
      <c r="P41" s="49"/>
      <c r="Q41" s="291">
        <f>SUM(Q22:Q39)</f>
        <v>0</v>
      </c>
      <c r="R41" s="292"/>
      <c r="S41" s="38" t="s">
        <v>391</v>
      </c>
      <c r="T41" s="6"/>
      <c r="W41" s="13"/>
      <c r="X41" s="13"/>
      <c r="Y41" s="13"/>
      <c r="Z41" s="13"/>
      <c r="AA41" s="13"/>
      <c r="AB41" s="13"/>
      <c r="AC41" s="13"/>
      <c r="AD41" s="13"/>
      <c r="AE41" s="13"/>
      <c r="AF41" s="13"/>
      <c r="AG41" s="13"/>
      <c r="AH41" s="13"/>
    </row>
    <row r="42" spans="2:55" ht="15.6" x14ac:dyDescent="0.3">
      <c r="B42" s="4"/>
      <c r="C42" s="42"/>
      <c r="D42" s="227"/>
      <c r="E42" s="49"/>
      <c r="F42" s="49"/>
      <c r="G42" s="49"/>
      <c r="H42" s="49"/>
      <c r="I42" s="49"/>
      <c r="J42" s="49"/>
      <c r="K42" s="49"/>
      <c r="L42" s="49"/>
      <c r="M42" s="49"/>
      <c r="N42" s="49"/>
      <c r="O42" s="49"/>
      <c r="P42" s="49"/>
      <c r="Q42" s="49"/>
      <c r="R42" s="49"/>
      <c r="S42" s="49"/>
      <c r="T42" s="6"/>
      <c r="V42" s="13"/>
      <c r="W42" s="13"/>
      <c r="X42" s="13"/>
      <c r="Y42" s="13"/>
      <c r="Z42" s="13"/>
      <c r="AA42" s="13"/>
      <c r="AB42" s="13"/>
      <c r="AC42" s="13"/>
      <c r="AD42" s="13"/>
      <c r="AE42" s="13"/>
      <c r="AF42" s="13"/>
      <c r="AG42" s="13"/>
      <c r="AH42" s="13"/>
    </row>
    <row r="43" spans="2:55" ht="8.1" customHeight="1" x14ac:dyDescent="0.3">
      <c r="B43" s="4"/>
      <c r="C43" s="42"/>
      <c r="D43" s="227"/>
      <c r="E43" s="270"/>
      <c r="F43" s="270"/>
      <c r="G43" s="270"/>
      <c r="H43" s="270"/>
      <c r="I43" s="270"/>
      <c r="J43" s="270"/>
      <c r="K43" s="270"/>
      <c r="L43" s="270"/>
      <c r="M43" s="270"/>
      <c r="N43" s="270"/>
      <c r="O43" s="270"/>
      <c r="P43" s="270"/>
      <c r="Q43" s="270"/>
      <c r="R43" s="270"/>
      <c r="S43" s="270"/>
      <c r="T43" s="6"/>
      <c r="W43" s="13"/>
      <c r="X43" s="13"/>
      <c r="Y43" s="13"/>
      <c r="Z43" s="13"/>
      <c r="AA43" s="13"/>
      <c r="AB43" s="13"/>
      <c r="AC43" s="13"/>
      <c r="AD43" s="13"/>
      <c r="AE43" s="13"/>
      <c r="AF43" s="13"/>
      <c r="AG43" s="13"/>
      <c r="AH43" s="13"/>
    </row>
    <row r="44" spans="2:55" ht="23.55" customHeight="1" x14ac:dyDescent="0.3">
      <c r="B44" s="4"/>
      <c r="C44" s="42"/>
      <c r="D44" s="227"/>
      <c r="E44" s="48" t="s">
        <v>12</v>
      </c>
      <c r="F44" s="49" t="s">
        <v>403</v>
      </c>
      <c r="G44" s="49"/>
      <c r="H44" s="49"/>
      <c r="I44" s="49"/>
      <c r="J44" s="49"/>
      <c r="K44" s="237"/>
      <c r="L44" s="237"/>
      <c r="M44" s="237"/>
      <c r="N44" s="237"/>
      <c r="O44" s="237"/>
      <c r="P44" s="237"/>
      <c r="Q44" s="237"/>
      <c r="R44" s="237"/>
      <c r="S44" s="237"/>
      <c r="T44" s="6"/>
      <c r="W44" s="13"/>
      <c r="X44" s="13"/>
      <c r="Y44" s="13"/>
      <c r="Z44" s="13"/>
      <c r="AA44" s="13"/>
      <c r="AB44" s="13"/>
      <c r="AC44" s="13"/>
      <c r="AD44" s="13"/>
      <c r="AE44" s="13"/>
      <c r="AF44" s="13"/>
      <c r="AG44" s="13"/>
      <c r="AH44" s="13"/>
    </row>
    <row r="45" spans="2:55" ht="11.55" customHeight="1" x14ac:dyDescent="0.3">
      <c r="B45" s="4"/>
      <c r="C45" s="42"/>
      <c r="D45" s="227"/>
      <c r="E45" s="48"/>
      <c r="F45" s="49"/>
      <c r="G45" s="49"/>
      <c r="H45" s="49"/>
      <c r="I45" s="49"/>
      <c r="J45" s="49"/>
      <c r="K45" s="144" t="s">
        <v>2</v>
      </c>
      <c r="L45" s="144" t="s">
        <v>3</v>
      </c>
      <c r="M45" s="237"/>
      <c r="N45" s="237"/>
      <c r="O45" s="237"/>
      <c r="P45" s="237"/>
      <c r="Q45" s="237"/>
      <c r="R45" s="237"/>
      <c r="S45" s="237"/>
      <c r="T45" s="6"/>
      <c r="W45" s="13"/>
      <c r="X45" s="13"/>
      <c r="Y45" s="13"/>
      <c r="Z45" s="13"/>
      <c r="AA45" s="13"/>
      <c r="AB45" s="13"/>
      <c r="AC45" s="13"/>
      <c r="AD45" s="13"/>
      <c r="AE45" s="13"/>
      <c r="AF45" s="13"/>
      <c r="AG45" s="13"/>
      <c r="AH45" s="13"/>
    </row>
    <row r="46" spans="2:55" ht="15" customHeight="1" x14ac:dyDescent="0.3">
      <c r="B46" s="4"/>
      <c r="C46" s="42"/>
      <c r="D46" s="227"/>
      <c r="E46" s="49"/>
      <c r="F46" s="390" t="s">
        <v>26</v>
      </c>
      <c r="G46" s="390"/>
      <c r="H46" s="390"/>
      <c r="I46" s="390"/>
      <c r="J46" s="390"/>
      <c r="K46" s="293">
        <f>O41</f>
        <v>0</v>
      </c>
      <c r="L46" s="246" t="s">
        <v>391</v>
      </c>
      <c r="M46" s="227"/>
      <c r="N46" s="227"/>
      <c r="O46" s="227"/>
      <c r="P46" s="227"/>
      <c r="Q46" s="227"/>
      <c r="R46" s="227"/>
      <c r="S46" s="227"/>
      <c r="T46" s="6"/>
    </row>
    <row r="47" spans="2:55" ht="6" customHeight="1" x14ac:dyDescent="0.3">
      <c r="B47" s="4"/>
      <c r="C47" s="42"/>
      <c r="D47" s="227"/>
      <c r="E47" s="49"/>
      <c r="F47" s="390"/>
      <c r="G47" s="390"/>
      <c r="H47" s="390"/>
      <c r="I47" s="390"/>
      <c r="J47" s="390"/>
      <c r="K47" s="230"/>
      <c r="L47" s="294"/>
      <c r="M47" s="227"/>
      <c r="N47" s="227"/>
      <c r="O47" s="227"/>
      <c r="P47" s="227"/>
      <c r="Q47" s="227"/>
      <c r="R47" s="227"/>
      <c r="S47" s="227"/>
      <c r="T47" s="6"/>
    </row>
    <row r="48" spans="2:55" ht="15.6" customHeight="1" x14ac:dyDescent="0.3">
      <c r="B48" s="4"/>
      <c r="C48" s="42"/>
      <c r="D48" s="227"/>
      <c r="E48" s="49"/>
      <c r="F48" s="390" t="s">
        <v>399</v>
      </c>
      <c r="G48" s="390"/>
      <c r="H48" s="390"/>
      <c r="I48" s="390"/>
      <c r="J48" s="390"/>
      <c r="K48" s="293">
        <f>Q41</f>
        <v>0</v>
      </c>
      <c r="L48" s="246" t="s">
        <v>391</v>
      </c>
      <c r="M48" s="227"/>
      <c r="N48" s="227"/>
      <c r="O48" s="227"/>
      <c r="P48" s="227"/>
      <c r="Q48" s="227"/>
      <c r="R48" s="227"/>
      <c r="S48" s="227"/>
      <c r="T48" s="6"/>
    </row>
    <row r="49" spans="2:20" ht="7.5" customHeight="1" x14ac:dyDescent="0.3">
      <c r="B49" s="4"/>
      <c r="C49" s="42"/>
      <c r="D49" s="42"/>
      <c r="E49" s="39"/>
      <c r="F49" s="72"/>
      <c r="G49" s="72"/>
      <c r="H49" s="72"/>
      <c r="I49" s="72"/>
      <c r="J49" s="72"/>
      <c r="K49" s="42"/>
      <c r="L49" s="42"/>
      <c r="M49" s="42"/>
      <c r="N49" s="42"/>
      <c r="O49" s="42"/>
      <c r="P49" s="42"/>
      <c r="Q49" s="42"/>
      <c r="R49" s="42"/>
      <c r="S49" s="42"/>
      <c r="T49" s="6"/>
    </row>
    <row r="50" spans="2:20" ht="3" customHeight="1" thickBot="1" x14ac:dyDescent="0.35">
      <c r="B50" s="7"/>
      <c r="C50" s="51"/>
      <c r="D50" s="51"/>
      <c r="E50" s="56"/>
      <c r="F50" s="111"/>
      <c r="G50" s="111"/>
      <c r="H50" s="111"/>
      <c r="I50" s="111"/>
      <c r="J50" s="111"/>
      <c r="K50" s="51"/>
      <c r="L50" s="51"/>
      <c r="M50" s="51"/>
      <c r="N50" s="51"/>
      <c r="O50" s="51"/>
      <c r="P50" s="51"/>
      <c r="Q50" s="51"/>
      <c r="R50" s="51"/>
      <c r="S50" s="51"/>
      <c r="T50" s="9"/>
    </row>
  </sheetData>
  <sheetProtection algorithmName="SHA-512" hashValue="G2tLhO29cO5fJ8e/OmqpI6dGK6bDPbm4E8zDxHFzDTJA/mBO989Xk3gZcTJZVsBkrS+xo/7TrV7n7Il1J4a2lg==" saltValue="yCI9svFZRPFMCSOJaY864g==" spinCount="100000" sheet="1" selectLockedCells="1"/>
  <mergeCells count="38">
    <mergeCell ref="AC22:AH22"/>
    <mergeCell ref="AC23:AD23"/>
    <mergeCell ref="AE23:AF23"/>
    <mergeCell ref="AG23:AH23"/>
    <mergeCell ref="F3:M3"/>
    <mergeCell ref="F22:J22"/>
    <mergeCell ref="F23:J23"/>
    <mergeCell ref="E4:S6"/>
    <mergeCell ref="D10:S10"/>
    <mergeCell ref="F24:J24"/>
    <mergeCell ref="F13:J13"/>
    <mergeCell ref="F8:J8"/>
    <mergeCell ref="F12:J12"/>
    <mergeCell ref="F14:J14"/>
    <mergeCell ref="F15:J15"/>
    <mergeCell ref="E18:S18"/>
    <mergeCell ref="E20:S20"/>
    <mergeCell ref="E17:S17"/>
    <mergeCell ref="E19:S19"/>
    <mergeCell ref="F25:J25"/>
    <mergeCell ref="F38:J38"/>
    <mergeCell ref="F27:J27"/>
    <mergeCell ref="F29:J29"/>
    <mergeCell ref="F30:J30"/>
    <mergeCell ref="F31:J31"/>
    <mergeCell ref="F26:J26"/>
    <mergeCell ref="F33:J33"/>
    <mergeCell ref="F34:J34"/>
    <mergeCell ref="F36:J36"/>
    <mergeCell ref="F32:J32"/>
    <mergeCell ref="F35:J35"/>
    <mergeCell ref="F37:J37"/>
    <mergeCell ref="F48:J48"/>
    <mergeCell ref="F28:J28"/>
    <mergeCell ref="F46:J46"/>
    <mergeCell ref="F47:J47"/>
    <mergeCell ref="F40:J41"/>
    <mergeCell ref="F39:J39"/>
  </mergeCells>
  <dataValidations count="4">
    <dataValidation type="list" allowBlank="1" showInputMessage="1" showErrorMessage="1" sqref="K14" xr:uid="{D1AD0D84-DAE2-48CF-8459-2AFE976C8347}">
      <formula1>"550-575,575-600,600-625,625-650,650-675,675-700,700-750,750-800,800-850,850-900"</formula1>
    </dataValidation>
    <dataValidation type="list" allowBlank="1" showInputMessage="1" showErrorMessage="1" sqref="K15" xr:uid="{FE8B5C82-C02A-47B7-8EE2-9179853B1E3E}">
      <formula1>"Yes,No"</formula1>
    </dataValidation>
    <dataValidation type="list" allowBlank="1" showInputMessage="1" showErrorMessage="1" sqref="K13" xr:uid="{95DBBD21-A5BD-40D8-A813-6FA56B6CAA4D}">
      <formula1>"Freely draining, Impermeable - drained for arable, Impermeable - drained for arable and grassland"</formula1>
    </dataValidation>
    <dataValidation type="list" allowBlank="1" showInputMessage="1" showErrorMessage="1" sqref="K12" xr:uid="{9CA65DA3-8EC1-4DE8-A2A5-6475F79E0D5C}">
      <formula1>"Wensum, Yare, Bure"</formula1>
    </dataValidation>
  </dataValidations>
  <hyperlinks>
    <hyperlink ref="E18:M18" location="Help!C98" display="Note: Identify the soil drainage type from the Viewer, and use the criteria table in the Help tab to identify if the soil is either permeable or impermeable" xr:uid="{CF9C6CF2-1BEE-4CA2-BC81-A07A7035BCBA}"/>
    <hyperlink ref="E18:S18" location="Introduction!C180" display="Note: Use the criteria table in the introduction tab to identify if the soil type" xr:uid="{B85ACFA4-B4A4-46C9-B8B2-91237C755DB7}"/>
    <hyperlink ref="E17:S17" location="Introduction!C198" display="Note: Use the Link in the introduction tab to find the appropriate catchment" xr:uid="{AB23DA06-350A-44AA-9C3A-C6CA710476A1}"/>
    <hyperlink ref="E20:S20" location="Introduction!C204" display="Note: Use the Link in the Help tab to Find out whether the development is in a Nitrate Vulnerable Zone (NVZ)" xr:uid="{E2562DBB-4BDA-48B9-91F1-9CC89B9AAFB1}"/>
    <hyperlink ref="E19:S19" location="Rainfall!A1" display="Note: Rainfall can be identified using the map on the Rainfall tab" xr:uid="{E9116748-D9A9-4E5F-8D57-49EBF86E01B5}"/>
  </hyperlinks>
  <pageMargins left="0.70866141732283472" right="0.70866141732283472" top="0.74803149606299213" bottom="0.74803149606299213" header="0.31496062992125984" footer="0.31496062992125984"/>
  <pageSetup paperSize="9" scale="72" orientation="portrait" r:id="rId1"/>
  <headerFooter>
    <oddHeader>&amp;LPhosphate Budget Calculator&amp;CStage 2</oddHeader>
    <oddFooter>&amp;LVersion 2.2&amp;R&amp;D</oddFooter>
  </headerFooter>
  <customProperties>
    <customPr name="SSC_SHEET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16C26-AF18-4444-BA7E-03F79DCDA09D}">
  <sheetPr>
    <tabColor rgb="FFD6F4FE"/>
    <pageSetUpPr fitToPage="1"/>
  </sheetPr>
  <dimension ref="A1:Z40"/>
  <sheetViews>
    <sheetView zoomScale="115" zoomScaleNormal="115" workbookViewId="0">
      <selection activeCell="K11" sqref="K11"/>
    </sheetView>
  </sheetViews>
  <sheetFormatPr defaultRowHeight="13.2" x14ac:dyDescent="0.25"/>
  <cols>
    <col min="2" max="3" width="0.77734375" customWidth="1"/>
    <col min="4" max="4" width="2.21875" customWidth="1"/>
    <col min="5" max="5" width="8.21875" customWidth="1"/>
    <col min="9" max="10" width="12.21875" customWidth="1"/>
    <col min="11" max="11" width="9.77734375" customWidth="1"/>
    <col min="12" max="12" width="12.5546875" customWidth="1"/>
    <col min="13" max="13" width="5.44140625" customWidth="1"/>
    <col min="14" max="14" width="0.77734375" customWidth="1"/>
  </cols>
  <sheetData>
    <row r="1" spans="1:26" ht="14.4" thickBot="1" x14ac:dyDescent="0.35">
      <c r="A1" s="40" t="s">
        <v>29</v>
      </c>
    </row>
    <row r="2" spans="1:26" ht="3.6" customHeight="1" x14ac:dyDescent="0.25">
      <c r="B2" s="1"/>
      <c r="C2" s="2"/>
      <c r="D2" s="2"/>
      <c r="E2" s="2"/>
      <c r="F2" s="2"/>
      <c r="G2" s="2"/>
      <c r="H2" s="2"/>
      <c r="I2" s="2"/>
      <c r="J2" s="2"/>
      <c r="K2" s="2"/>
      <c r="L2" s="2"/>
      <c r="M2" s="2"/>
      <c r="N2" s="3"/>
    </row>
    <row r="3" spans="1:26" ht="28.5" customHeight="1" x14ac:dyDescent="0.3">
      <c r="B3" s="46"/>
      <c r="C3" s="229"/>
      <c r="D3" s="68"/>
      <c r="E3" s="197" t="s">
        <v>29</v>
      </c>
      <c r="F3" s="441" t="s">
        <v>496</v>
      </c>
      <c r="G3" s="441"/>
      <c r="H3" s="441"/>
      <c r="I3" s="441"/>
      <c r="J3" s="441"/>
      <c r="K3" s="441"/>
      <c r="L3" s="441"/>
      <c r="M3" s="441"/>
      <c r="N3" s="6"/>
    </row>
    <row r="4" spans="1:26" ht="12.6" customHeight="1" x14ac:dyDescent="0.3">
      <c r="B4" s="46"/>
      <c r="C4" s="279"/>
      <c r="D4" s="145"/>
      <c r="E4" s="436" t="s">
        <v>597</v>
      </c>
      <c r="F4" s="436"/>
      <c r="G4" s="436"/>
      <c r="H4" s="436"/>
      <c r="I4" s="436"/>
      <c r="J4" s="436"/>
      <c r="K4" s="436"/>
      <c r="L4" s="436"/>
      <c r="M4" s="436"/>
      <c r="N4" s="6"/>
    </row>
    <row r="5" spans="1:26" ht="15.6" x14ac:dyDescent="0.3">
      <c r="B5" s="46"/>
      <c r="C5" s="279"/>
      <c r="D5" s="145"/>
      <c r="E5" s="436"/>
      <c r="F5" s="436"/>
      <c r="G5" s="436"/>
      <c r="H5" s="436"/>
      <c r="I5" s="436"/>
      <c r="J5" s="436"/>
      <c r="K5" s="436"/>
      <c r="L5" s="436"/>
      <c r="M5" s="436"/>
      <c r="N5" s="6"/>
    </row>
    <row r="6" spans="1:26" ht="50.1" customHeight="1" x14ac:dyDescent="0.3">
      <c r="B6" s="46"/>
      <c r="C6" s="227"/>
      <c r="D6" s="49"/>
      <c r="E6" s="436"/>
      <c r="F6" s="436"/>
      <c r="G6" s="436"/>
      <c r="H6" s="436"/>
      <c r="I6" s="436"/>
      <c r="J6" s="436"/>
      <c r="K6" s="436"/>
      <c r="L6" s="436"/>
      <c r="M6" s="436"/>
      <c r="N6" s="6"/>
    </row>
    <row r="7" spans="1:26" ht="7.05" customHeight="1" x14ac:dyDescent="0.3">
      <c r="B7" s="46"/>
      <c r="C7" s="227"/>
      <c r="D7" s="259"/>
      <c r="E7" s="259"/>
      <c r="F7" s="259"/>
      <c r="G7" s="259"/>
      <c r="H7" s="259"/>
      <c r="I7" s="259"/>
      <c r="J7" s="259"/>
      <c r="K7" s="259"/>
      <c r="L7" s="259"/>
      <c r="M7" s="259"/>
      <c r="N7" s="6"/>
    </row>
    <row r="8" spans="1:26" ht="15.6" x14ac:dyDescent="0.3">
      <c r="B8" s="46"/>
      <c r="C8" s="227"/>
      <c r="D8" s="49"/>
      <c r="E8" s="48" t="s">
        <v>5</v>
      </c>
      <c r="F8" s="375" t="s">
        <v>25</v>
      </c>
      <c r="G8" s="375"/>
      <c r="H8" s="375"/>
      <c r="I8" s="375"/>
      <c r="J8" s="375"/>
      <c r="K8" s="144" t="s">
        <v>2</v>
      </c>
      <c r="L8" s="144" t="s">
        <v>3</v>
      </c>
      <c r="M8" s="49"/>
      <c r="N8" s="6"/>
    </row>
    <row r="9" spans="1:26" ht="12.6" customHeight="1" x14ac:dyDescent="0.3">
      <c r="B9" s="46"/>
      <c r="C9" s="227"/>
      <c r="D9" s="49"/>
      <c r="E9" s="48"/>
      <c r="F9" s="49"/>
      <c r="G9" s="49"/>
      <c r="H9" s="49"/>
      <c r="I9" s="49"/>
      <c r="J9" s="49"/>
      <c r="K9" s="144"/>
      <c r="L9" s="144"/>
      <c r="M9" s="49"/>
      <c r="N9" s="6"/>
    </row>
    <row r="10" spans="1:26" ht="14.1" customHeight="1" x14ac:dyDescent="0.3">
      <c r="B10" s="46"/>
      <c r="C10" s="227"/>
      <c r="D10" s="49"/>
      <c r="E10" s="48"/>
      <c r="F10" s="49" t="s">
        <v>395</v>
      </c>
      <c r="G10" s="49"/>
      <c r="H10" s="49"/>
      <c r="I10" s="49"/>
      <c r="J10" s="49"/>
      <c r="K10" s="282"/>
      <c r="L10" s="240" t="s">
        <v>17</v>
      </c>
      <c r="M10" s="49"/>
      <c r="N10" s="6"/>
    </row>
    <row r="11" spans="1:26" ht="13.05" customHeight="1" x14ac:dyDescent="0.3">
      <c r="B11" s="46"/>
      <c r="C11" s="227"/>
      <c r="D11" s="49"/>
      <c r="E11" s="48"/>
      <c r="F11" s="49" t="s">
        <v>396</v>
      </c>
      <c r="G11" s="49"/>
      <c r="H11" s="49"/>
      <c r="I11" s="49"/>
      <c r="J11" s="49"/>
      <c r="K11" s="282"/>
      <c r="L11" s="240" t="s">
        <v>17</v>
      </c>
      <c r="M11" s="49"/>
      <c r="N11" s="6"/>
    </row>
    <row r="12" spans="1:26" ht="15.6" customHeight="1" x14ac:dyDescent="0.3">
      <c r="B12" s="46"/>
      <c r="C12" s="227"/>
      <c r="D12" s="49"/>
      <c r="E12" s="48"/>
      <c r="F12" s="49" t="s">
        <v>397</v>
      </c>
      <c r="G12" s="49"/>
      <c r="H12" s="49"/>
      <c r="I12" s="49"/>
      <c r="J12" s="49"/>
      <c r="K12" s="282"/>
      <c r="L12" s="240" t="s">
        <v>17</v>
      </c>
      <c r="M12" s="49"/>
      <c r="N12" s="6"/>
    </row>
    <row r="13" spans="1:26" ht="15" customHeight="1" x14ac:dyDescent="0.3">
      <c r="B13" s="46"/>
      <c r="C13" s="227"/>
      <c r="D13" s="49"/>
      <c r="E13" s="49"/>
      <c r="F13" s="375" t="s">
        <v>467</v>
      </c>
      <c r="G13" s="375"/>
      <c r="H13" s="375"/>
      <c r="I13" s="375"/>
      <c r="J13" s="375"/>
      <c r="K13" s="282"/>
      <c r="L13" s="240" t="s">
        <v>17</v>
      </c>
      <c r="M13" s="49"/>
      <c r="N13" s="6"/>
    </row>
    <row r="14" spans="1:26" ht="15" customHeight="1" x14ac:dyDescent="0.3">
      <c r="B14" s="46"/>
      <c r="C14" s="227"/>
      <c r="D14" s="49"/>
      <c r="E14" s="49"/>
      <c r="F14" s="375" t="s">
        <v>506</v>
      </c>
      <c r="G14" s="375"/>
      <c r="H14" s="375"/>
      <c r="I14" s="375"/>
      <c r="J14" s="375"/>
      <c r="K14" s="282"/>
      <c r="L14" s="240" t="s">
        <v>17</v>
      </c>
      <c r="M14" s="49"/>
      <c r="N14" s="6"/>
      <c r="P14" s="13"/>
      <c r="Q14" s="13"/>
      <c r="Z14" s="13"/>
    </row>
    <row r="15" spans="1:26" ht="15" customHeight="1" x14ac:dyDescent="0.3">
      <c r="B15" s="46"/>
      <c r="C15" s="227"/>
      <c r="D15" s="49"/>
      <c r="E15" s="49"/>
      <c r="F15" s="375" t="s">
        <v>21</v>
      </c>
      <c r="G15" s="375"/>
      <c r="H15" s="375"/>
      <c r="I15" s="375"/>
      <c r="J15" s="375"/>
      <c r="K15" s="282"/>
      <c r="L15" s="240" t="s">
        <v>17</v>
      </c>
      <c r="M15" s="49"/>
      <c r="N15" s="6"/>
      <c r="P15" s="13"/>
      <c r="Q15" s="13"/>
    </row>
    <row r="16" spans="1:26" ht="15" customHeight="1" x14ac:dyDescent="0.3">
      <c r="B16" s="46"/>
      <c r="C16" s="227"/>
      <c r="D16" s="49"/>
      <c r="E16" s="49"/>
      <c r="F16" s="375" t="s">
        <v>150</v>
      </c>
      <c r="G16" s="375"/>
      <c r="H16" s="375"/>
      <c r="I16" s="375"/>
      <c r="J16" s="375"/>
      <c r="K16" s="282"/>
      <c r="L16" s="240" t="s">
        <v>17</v>
      </c>
      <c r="M16" s="49"/>
      <c r="N16" s="6"/>
      <c r="P16" s="13"/>
      <c r="Q16" s="13"/>
    </row>
    <row r="17" spans="2:17" ht="15" customHeight="1" x14ac:dyDescent="0.3">
      <c r="B17" s="46"/>
      <c r="C17" s="227"/>
      <c r="D17" s="49"/>
      <c r="E17" s="49"/>
      <c r="F17" s="375" t="s">
        <v>505</v>
      </c>
      <c r="G17" s="375"/>
      <c r="H17" s="375"/>
      <c r="I17" s="375"/>
      <c r="J17" s="375"/>
      <c r="K17" s="282"/>
      <c r="L17" s="240" t="s">
        <v>17</v>
      </c>
      <c r="M17" s="49"/>
      <c r="N17" s="6"/>
      <c r="P17" s="13"/>
      <c r="Q17" s="13"/>
    </row>
    <row r="18" spans="2:17" ht="15" customHeight="1" x14ac:dyDescent="0.3">
      <c r="B18" s="46"/>
      <c r="C18" s="227"/>
      <c r="D18" s="49"/>
      <c r="E18" s="49"/>
      <c r="F18" s="375" t="s">
        <v>231</v>
      </c>
      <c r="G18" s="375"/>
      <c r="H18" s="375"/>
      <c r="I18" s="375"/>
      <c r="J18" s="375"/>
      <c r="K18" s="282"/>
      <c r="L18" s="240" t="s">
        <v>17</v>
      </c>
      <c r="M18" s="49"/>
      <c r="N18" s="6"/>
      <c r="P18" s="13"/>
      <c r="Q18" s="13"/>
    </row>
    <row r="19" spans="2:17" ht="15" customHeight="1" x14ac:dyDescent="0.3">
      <c r="B19" s="46"/>
      <c r="C19" s="227"/>
      <c r="D19" s="49"/>
      <c r="E19" s="49"/>
      <c r="F19" s="375" t="s">
        <v>393</v>
      </c>
      <c r="G19" s="375"/>
      <c r="H19" s="375"/>
      <c r="I19" s="375"/>
      <c r="J19" s="375"/>
      <c r="K19" s="282"/>
      <c r="L19" s="240" t="s">
        <v>17</v>
      </c>
      <c r="M19" s="49"/>
      <c r="N19" s="6"/>
    </row>
    <row r="20" spans="2:17" ht="7.05" customHeight="1" x14ac:dyDescent="0.3">
      <c r="B20" s="46"/>
      <c r="C20" s="227"/>
      <c r="D20" s="49"/>
      <c r="E20" s="49"/>
      <c r="F20" s="49"/>
      <c r="G20" s="49"/>
      <c r="H20" s="49"/>
      <c r="I20" s="49"/>
      <c r="J20" s="49"/>
      <c r="K20" s="49"/>
      <c r="L20" s="49"/>
      <c r="M20" s="49"/>
      <c r="N20" s="6"/>
    </row>
    <row r="21" spans="2:17" ht="5.55" customHeight="1" x14ac:dyDescent="0.3">
      <c r="B21" s="46"/>
      <c r="C21" s="227"/>
      <c r="D21" s="247"/>
      <c r="E21" s="247"/>
      <c r="F21" s="247"/>
      <c r="G21" s="247"/>
      <c r="H21" s="247"/>
      <c r="I21" s="247"/>
      <c r="J21" s="247"/>
      <c r="K21" s="247"/>
      <c r="L21" s="247"/>
      <c r="M21" s="247"/>
      <c r="N21" s="6"/>
    </row>
    <row r="22" spans="2:17" ht="4.05" customHeight="1" x14ac:dyDescent="0.3">
      <c r="B22" s="46"/>
      <c r="C22" s="227"/>
      <c r="D22" s="49"/>
      <c r="E22" s="49"/>
      <c r="F22" s="49"/>
      <c r="G22" s="49"/>
      <c r="H22" s="49"/>
      <c r="I22" s="49"/>
      <c r="J22" s="49"/>
      <c r="K22" s="49"/>
      <c r="L22" s="49"/>
      <c r="M22" s="49"/>
      <c r="N22" s="6"/>
    </row>
    <row r="23" spans="2:17" ht="14.1" customHeight="1" x14ac:dyDescent="0.3">
      <c r="B23" s="46"/>
      <c r="C23" s="227"/>
      <c r="D23" s="49"/>
      <c r="E23" s="48" t="s">
        <v>8</v>
      </c>
      <c r="F23" s="375" t="s">
        <v>233</v>
      </c>
      <c r="G23" s="375"/>
      <c r="H23" s="375"/>
      <c r="I23" s="375"/>
      <c r="J23" s="375"/>
      <c r="K23" s="49"/>
      <c r="L23" s="49"/>
      <c r="M23" s="49"/>
      <c r="N23" s="6"/>
    </row>
    <row r="24" spans="2:17" ht="4.05" customHeight="1" x14ac:dyDescent="0.3">
      <c r="B24" s="46"/>
      <c r="C24" s="227"/>
      <c r="D24" s="49"/>
      <c r="E24" s="48"/>
      <c r="F24" s="49"/>
      <c r="G24" s="49"/>
      <c r="H24" s="49"/>
      <c r="I24" s="49"/>
      <c r="J24" s="49"/>
      <c r="K24" s="49"/>
      <c r="L24" s="49"/>
      <c r="M24" s="49"/>
      <c r="N24" s="6"/>
    </row>
    <row r="25" spans="2:17" ht="11.1" customHeight="1" x14ac:dyDescent="0.3">
      <c r="B25" s="46"/>
      <c r="C25" s="227"/>
      <c r="D25" s="49"/>
      <c r="E25" s="49"/>
      <c r="F25" s="375" t="s">
        <v>234</v>
      </c>
      <c r="G25" s="375"/>
      <c r="H25" s="375"/>
      <c r="I25" s="375"/>
      <c r="J25" s="375"/>
      <c r="K25" s="238"/>
      <c r="L25" s="240" t="s">
        <v>17</v>
      </c>
      <c r="M25" s="49"/>
      <c r="N25" s="6"/>
    </row>
    <row r="26" spans="2:17" ht="13.5" customHeight="1" x14ac:dyDescent="0.3">
      <c r="B26" s="46"/>
      <c r="C26" s="227"/>
      <c r="D26" s="49"/>
      <c r="E26" s="49"/>
      <c r="F26" s="375" t="s">
        <v>400</v>
      </c>
      <c r="G26" s="375"/>
      <c r="H26" s="375"/>
      <c r="I26" s="375"/>
      <c r="J26" s="375"/>
      <c r="K26" s="238"/>
      <c r="L26" s="240" t="s">
        <v>507</v>
      </c>
      <c r="M26" s="49"/>
      <c r="N26" s="6"/>
    </row>
    <row r="27" spans="2:17" ht="17.100000000000001" customHeight="1" x14ac:dyDescent="0.3">
      <c r="B27" s="46"/>
      <c r="C27" s="227"/>
      <c r="D27" s="49"/>
      <c r="E27" s="49"/>
      <c r="F27" s="49" t="s">
        <v>401</v>
      </c>
      <c r="G27" s="49"/>
      <c r="H27" s="49"/>
      <c r="I27" s="49"/>
      <c r="J27" s="49"/>
      <c r="K27" s="238"/>
      <c r="L27" s="240" t="s">
        <v>507</v>
      </c>
      <c r="M27" s="49"/>
      <c r="N27" s="6"/>
    </row>
    <row r="28" spans="2:17" ht="50.1" customHeight="1" x14ac:dyDescent="0.3">
      <c r="B28" s="46"/>
      <c r="C28" s="227"/>
      <c r="D28" s="49"/>
      <c r="E28" s="436" t="s">
        <v>526</v>
      </c>
      <c r="F28" s="436"/>
      <c r="G28" s="436"/>
      <c r="H28" s="436"/>
      <c r="I28" s="436"/>
      <c r="J28" s="436"/>
      <c r="K28" s="436"/>
      <c r="L28" s="436"/>
      <c r="M28" s="436"/>
      <c r="N28" s="6"/>
    </row>
    <row r="29" spans="2:17" ht="6" customHeight="1" x14ac:dyDescent="0.3">
      <c r="B29" s="46"/>
      <c r="C29" s="227"/>
      <c r="D29" s="49"/>
      <c r="E29" s="237"/>
      <c r="F29" s="237"/>
      <c r="G29" s="237"/>
      <c r="H29" s="237"/>
      <c r="I29" s="237"/>
      <c r="J29" s="237"/>
      <c r="K29" s="237"/>
      <c r="L29" s="237"/>
      <c r="M29" s="237"/>
      <c r="N29" s="6"/>
    </row>
    <row r="30" spans="2:17" ht="13.5" customHeight="1" x14ac:dyDescent="0.3">
      <c r="B30" s="46"/>
      <c r="C30" s="227"/>
      <c r="D30" s="49"/>
      <c r="E30" s="49"/>
      <c r="F30" s="390" t="s">
        <v>20</v>
      </c>
      <c r="G30" s="390"/>
      <c r="H30" s="390"/>
      <c r="I30" s="390"/>
      <c r="J30" s="390"/>
      <c r="K30" s="290">
        <f>SUM(K10:K19)+K25</f>
        <v>0</v>
      </c>
      <c r="L30" s="246" t="s">
        <v>17</v>
      </c>
      <c r="M30" s="49"/>
      <c r="N30" s="6"/>
    </row>
    <row r="31" spans="2:17" ht="57" customHeight="1" x14ac:dyDescent="0.3">
      <c r="B31" s="46"/>
      <c r="C31" s="227"/>
      <c r="D31" s="49"/>
      <c r="E31" s="436" t="s">
        <v>508</v>
      </c>
      <c r="F31" s="436"/>
      <c r="G31" s="436"/>
      <c r="H31" s="436"/>
      <c r="I31" s="436"/>
      <c r="J31" s="436"/>
      <c r="K31" s="436"/>
      <c r="L31" s="436"/>
      <c r="M31" s="436"/>
      <c r="N31" s="6"/>
    </row>
    <row r="32" spans="2:17" ht="5.55" customHeight="1" x14ac:dyDescent="0.3">
      <c r="B32" s="46"/>
      <c r="C32" s="227"/>
      <c r="D32" s="49"/>
      <c r="E32" s="49"/>
      <c r="F32" s="49"/>
      <c r="G32" s="49"/>
      <c r="H32" s="49"/>
      <c r="I32" s="49"/>
      <c r="J32" s="49"/>
      <c r="K32" s="49"/>
      <c r="L32" s="49"/>
      <c r="M32" s="49"/>
      <c r="N32" s="6"/>
    </row>
    <row r="33" spans="2:14" ht="15.6" x14ac:dyDescent="0.3">
      <c r="B33" s="46"/>
      <c r="C33" s="227"/>
      <c r="D33" s="259"/>
      <c r="E33" s="259"/>
      <c r="F33" s="259"/>
      <c r="G33" s="259"/>
      <c r="H33" s="259"/>
      <c r="I33" s="259"/>
      <c r="J33" s="259"/>
      <c r="K33" s="259"/>
      <c r="L33" s="259"/>
      <c r="M33" s="259"/>
      <c r="N33" s="6"/>
    </row>
    <row r="34" spans="2:14" ht="15.6" x14ac:dyDescent="0.3">
      <c r="B34" s="46"/>
      <c r="C34" s="227"/>
      <c r="D34" s="49"/>
      <c r="E34" s="48" t="s">
        <v>12</v>
      </c>
      <c r="F34" s="375" t="s">
        <v>402</v>
      </c>
      <c r="G34" s="375"/>
      <c r="H34" s="375"/>
      <c r="I34" s="375"/>
      <c r="J34" s="375"/>
      <c r="K34" s="144" t="s">
        <v>2</v>
      </c>
      <c r="L34" s="144" t="s">
        <v>3</v>
      </c>
      <c r="M34" s="49"/>
      <c r="N34" s="6"/>
    </row>
    <row r="35" spans="2:14" ht="4.5" customHeight="1" x14ac:dyDescent="0.3">
      <c r="B35" s="46"/>
      <c r="C35" s="227"/>
      <c r="D35" s="49"/>
      <c r="E35" s="48"/>
      <c r="F35" s="375"/>
      <c r="G35" s="375"/>
      <c r="H35" s="375"/>
      <c r="I35" s="375"/>
      <c r="J35" s="375"/>
      <c r="K35" s="144"/>
      <c r="L35" s="144"/>
      <c r="M35" s="49"/>
      <c r="N35" s="6"/>
    </row>
    <row r="36" spans="2:14" ht="15.6" customHeight="1" x14ac:dyDescent="0.3">
      <c r="B36" s="46"/>
      <c r="C36" s="227"/>
      <c r="D36" s="49"/>
      <c r="E36" s="49"/>
      <c r="F36" s="390" t="s">
        <v>26</v>
      </c>
      <c r="G36" s="390"/>
      <c r="H36" s="390"/>
      <c r="I36" s="390"/>
      <c r="J36" s="390"/>
      <c r="K36" s="295">
        <f>($K10*IF('Stage 2'!$K$14="550-575",'Data Tables'!AC39,IF('Stage 2'!$K$14="575-600",'Data Tables'!AC40,IF('Stage 2'!$K$14="600-625",'Data Tables'!AC41,IF('Stage 2'!$K$14="625-650",'Data Tables'!AC42,IF('Stage 2'!$K$14="650-675",'Data Tables'!AC43,IF('Stage 2'!$K$14="675-700",'Data Tables'!AC44,IF('Stage 2'!$K$14="700-750",'Data Tables'!AC45,IF('Stage 2'!$K$14="750-800",'Data Tables'!AC46,IF('Stage 2'!$K$14="800-850",'Data Tables'!AC47,'Data Tables'!AC48))))))))))+($K11*IF('Stage 2'!$K$14="550-575",'Data Tables'!AE39,IF('Stage 2'!$K$14="575-600",'Data Tables'!AE40,IF('Stage 2'!$K$14="600-625",'Data Tables'!AE41,IF('Stage 2'!$K$14="625-650",'Data Tables'!AE42,IF('Stage 2'!$K$14="650-675",'Data Tables'!AE43,IF('Stage 2'!$K$14="675-700",'Data Tables'!AE44,IF('Stage 2'!$K$14="700-750",'Data Tables'!AE45,IF('Stage 2'!$K$14="750-800",'Data Tables'!AE46,IF('Stage 2'!$K$14="800-850",'Data Tables'!AE47,'Data Tables'!AE48))))))))))+($K12*IF('Stage 2'!$K$14="550-575",'Data Tables'!AG39,IF('Stage 2'!$K$14="575-600",'Data Tables'!AG40,IF('Stage 2'!$K$14="600-625",'Data Tables'!AG41,IF('Stage 2'!$K$14="625-650",'Data Tables'!AG42,IF('Stage 2'!$K$14="650-675",'Data Tables'!AG43,IF('Stage 2'!$K$14="675-700",'Data Tables'!AG44,IF('Stage 2'!$K$14="700-750",'Data Tables'!AG45,IF('Stage 2'!$K$14="750-800",'Data Tables'!AG46,IF('Stage 2'!$K$14="800-850",'Data Tables'!AG47,'Data Tables'!AG48))))))))))+($K13*IF('Stage 2'!$K$14="550-575",'Data Tables'!AI39,IF('Stage 2'!$K$14="575-600",'Data Tables'!AI40,IF('Stage 2'!$K$14="600-625",'Data Tables'!AI41,IF('Stage 2'!$K$14="625-650",'Data Tables'!AI42,IF('Stage 2'!$K$14="650-675",'Data Tables'!AI43,IF('Stage 2'!$K$14="675-700",'Data Tables'!AI44,IF('Stage 2'!$K$14="700-750",'Data Tables'!AI45,IF('Stage 2'!$K$14="750-800",'Data Tables'!AI46,IF('Stage 2'!$K$14="800-850",'Data Tables'!AI47,'Data Tables'!AI48))))))))))+($K14*IF('Stage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Tables'!AK48))))))))))+(K17*'Data Tables'!O4)+(K16*'Data Tables'!O5)+(K18*'Data Tables'!O6)+(K19*'Data Tables'!O7)+(K25*-(IF(K26&gt;0,K26,8)))+(IF('Stage 2'!$K$12="Wensum",($K15*((IF('Stage 2'!$K$14="550-575",'Data Tables'!S13,IF('Stage 2'!$K$14="575-600",'Data Tables'!S13,IF('Stage 2'!$K$14="600-625",'Data Tables'!Y13,IF('Stage 2'!$K$14="625-650",'Data Tables'!Y13,IF('Stage 2'!$K$14="650-675",'Data Tables'!Y13,IF('Stage 2'!$K$14="675-700",'Data Tables'!Y13,IF('Stage 2'!$K$14="700-750",'Data Tables'!AE13,IF('Stage 2'!$K$14="750-800",'Data Tables'!AE13,IF('Stage 2'!$K$14="800-850",'Data Tables'!AE13,'Data Tables'!AE13)))))))))))),IF('Stage 2'!$K$12="Yare",($K15*(IF('Stage 2'!$K$14="550-575",'Data Tables'!S24,IF('Stage 2'!$K$14="575-600",'Data Tables'!S24,IF('Stage 2'!$K$14="600-625",'Data Tables'!Y24,IF('Stage 2'!$K$14="625-650",'Data Tables'!Y24,IF('Stage 2'!$K$14="650-675",'Data Tables'!Y24,IF('Stage 2'!$K$14="675-700",'Data Tables'!Y24,IF('Stage 2'!$K$14="700-750",'Data Tables'!AE24,IF('Stage 2'!$K$14="750-800",'Data Tables'!AE24,IF('Stage 2'!$K$14="800-850",'Data Tables'!AE24,'Data Tables'!AE24))))))))))),($K15*(IF('Stage 2'!$K$14="550-575",'Data Tables'!S35,IF('Stage 2'!$K$14="575-600",'Data Tables'!S35,IF('Stage 2'!$K$14="600-625",'Data Tables'!Y35,IF('Stage 2'!$K$14="625-650",'Data Tables'!Y35,IF('Stage 2'!$K$14="650-675",'Data Tables'!Y35,IF('Stage 2'!$K$14="675-700",'Data Tables'!Y35,IF('Stage 2'!$K$14="700-750",'Data Tables'!AE35,IF('Stage 2'!$K$14="750-800",'Data Tables'!AE35,IF('Stage 2'!$K$14="800-850",'Data Tables'!AE35,'Data Tables'!AE35))))))))))))))</f>
        <v>0</v>
      </c>
      <c r="L36" s="246" t="s">
        <v>35</v>
      </c>
      <c r="M36" s="49"/>
      <c r="N36" s="6"/>
    </row>
    <row r="37" spans="2:14" ht="3.6" customHeight="1" x14ac:dyDescent="0.3">
      <c r="B37" s="46"/>
      <c r="C37" s="227"/>
      <c r="D37" s="49"/>
      <c r="E37" s="49"/>
      <c r="F37" s="390"/>
      <c r="G37" s="390"/>
      <c r="H37" s="390"/>
      <c r="I37" s="390"/>
      <c r="J37" s="390"/>
      <c r="K37" s="49"/>
      <c r="L37" s="49"/>
      <c r="M37" s="49"/>
      <c r="N37" s="6"/>
    </row>
    <row r="38" spans="2:14" ht="15" customHeight="1" x14ac:dyDescent="0.3">
      <c r="B38" s="46"/>
      <c r="C38" s="227"/>
      <c r="D38" s="49"/>
      <c r="E38" s="49"/>
      <c r="F38" s="390" t="s">
        <v>399</v>
      </c>
      <c r="G38" s="390"/>
      <c r="H38" s="390"/>
      <c r="I38" s="390"/>
      <c r="J38" s="390"/>
      <c r="K38" s="273">
        <f>($K10*IF('Stage 2'!$K$14="550-575",'Data Tables'!AD39,IF('Stage 2'!$K$14="575-600",'Data Tables'!AD40,IF('Stage 2'!$K$14="600-625",'Data Tables'!AD41,IF('Stage 2'!$K$14="625-650",'Data Tables'!AD42,IF('Stage 2'!$K$14="650-675",'Data Tables'!AD43,IF('Stage 2'!$K$14="675-700",'Data Tables'!AD44,IF('Stage 2'!$K$14="700-750",'Data Tables'!AD45,IF('Stage 2'!$K$14="750-800",'Data Tables'!AD46,IF('Stage 2'!$K$14="800-850",'Data Tables'!AD47,'Data Tables'!AD48))))))))))+($K11*IF('Stage 2'!$K$14="550-575",'Data Tables'!AF39,IF('Stage 2'!$K$14="575-600",'Data Tables'!AF40,IF('Stage 2'!$K$14="600-625",'Data Tables'!AF41,IF('Stage 2'!$K$14="625-650",'Data Tables'!AF42,IF('Stage 2'!$K$14="650-675",'Data Tables'!AF43,IF('Stage 2'!$K$14="675-700",'Data Tables'!AF44,IF('Stage 2'!$K$14="700-750",'Data Tables'!AF45,IF('Stage 2'!$K$14="750-800",'Data Tables'!AF46,IF('Stage 2'!$K$14="800-850",'Data Tables'!AF47,'Data Tables'!AF48))))))))))+($K12*IF('Stage 2'!$K$14="550-575",'Data Tables'!AH39,IF('Stage 2'!$K$14="575-600",'Data Tables'!AH40,IF('Stage 2'!$K$14="600-625",'Data Tables'!AH41,IF('Stage 2'!$K$14="625-650",'Data Tables'!AH42,IF('Stage 2'!$K$14="650-675",'Data Tables'!AH43,IF('Stage 2'!$K$14="675-700",'Data Tables'!AH44,IF('Stage 2'!$K$14="700-750",'Data Tables'!AH45,IF('Stage 2'!$K$14="750-800",'Data Tables'!AH46,IF('Stage 2'!$K$14="800-850",'Data Tables'!AH47,'Data Tables'!AH48))))))))))+($K13*IF('Stage 2'!$K$14="550-575",'Data Tables'!AJ39,IF('Stage 2'!$K$14="575-600",'Data Tables'!AJ40,IF('Stage 2'!$K$14="600-625",'Data Tables'!AJ41,IF('Stage 2'!$K$14="625-650",'Data Tables'!AJ42,IF('Stage 2'!$K$14="650-675",'Data Tables'!AJ43,IF('Stage 2'!$K$14="675-700",'Data Tables'!AJ44,IF('Stage 2'!$K$14="700-750",'Data Tables'!AJ45,IF('Stage 2'!$K$14="750-800",'Data Tables'!AJ46,IF('Stage 2'!$K$14="800-850",'Data Tables'!AJ47,'Data Tables'!AJ48))))))))))+($K14*IF('Stage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Tables'!AL48))))))))))++(K17*'Data Tables'!P4)+(K16*'Data Tables'!P5)+(K18*'Data Tables'!P6)+(K19*'Data Tables'!P7)+(K25*-(IF(K27&gt;0,K27,930)))+(IF('Stage 2'!$K$12="Wensum",($K15*(IF('Stage 2'!$K$14="550-575",'Data Tables'!AM13,IF('Stage 2'!$K$14="575-600",'Data Tables'!AM13,IF('Stage 2'!$K$14="600-625",'Data Tables'!AS13,IF('Stage 2'!$K$14="625-650",'Data Tables'!AS13,IF('Stage 2'!$K$14="650-675",'Data Tables'!AS13,IF('Stage 2'!$K$14="675-700",'Data Tables'!AS13,IF('Stage 2'!$K$14="700-750",'Data Tables'!AY13,IF('Stage 2'!$K$14="750-800",'Data Tables'!AY13,IF('Stage 2'!$K$14="800-850",'Data Tables'!AY13,'Data Tables'!AY13))))))))))),IF('Stage 2'!$K$12="Yare",($K15*IF('Stage 2'!$K$14="550-575",'Data Tables'!AM24,IF('Stage 2'!$K$14="575-600",'Data Tables'!AM24,IF('Stage 2'!$K$14="600-625",'Data Tables'!AS24,IF('Stage 2'!$K$14="625-650",'Data Tables'!AS24,IF('Stage 2'!$K$14="650-675",'Data Tables'!AS24,IF('Stage 2'!$K$14="675-700",'Data Tables'!AS24,IF('Stage 2'!$K$14="700-750",'Data Tables'!AY24,IF('Stage 2'!$K$14="750-800",'Data Tables'!AY24,IF('Stage 2'!$K$14="800-850",'Data Tables'!AY24,'Data Tables'!AY24)))))))))),($K15*(IF('Stage 2'!$K$14="550-575",'Data Tables'!AM35,IF('Stage 2'!$K$14="575-600",'Data Tables'!AM35,IF('Stage 2'!$K$14="600-625",'Data Tables'!AS35,IF('Stage 2'!$K$14="625-650",'Data Tables'!AS35,IF('Stage 2'!$K$14="650-675",'Data Tables'!AS35,IF('Stage 2'!$K$14="675-700",'Data Tables'!AS35,IF('Stage 2'!$K$14="700-750",'Data Tables'!AY35,IF('Stage 2'!$K$14="750-800",'Data Tables'!AY35,IF('Stage 2'!$K$14="800-850",'Data Tables'!AY35,'Data Tables'!AY35))))))))))))))</f>
        <v>0</v>
      </c>
      <c r="L38" s="246" t="s">
        <v>35</v>
      </c>
      <c r="M38" s="49"/>
      <c r="N38" s="6"/>
    </row>
    <row r="39" spans="2:14" ht="6.6" customHeight="1" x14ac:dyDescent="0.3">
      <c r="B39" s="46"/>
      <c r="C39" s="227"/>
      <c r="D39" s="49"/>
      <c r="E39" s="49"/>
      <c r="F39" s="49"/>
      <c r="G39" s="49"/>
      <c r="H39" s="49"/>
      <c r="I39" s="49"/>
      <c r="J39" s="49"/>
      <c r="K39" s="49"/>
      <c r="L39" s="49"/>
      <c r="M39" s="49"/>
      <c r="N39" s="6"/>
    </row>
    <row r="40" spans="2:14" ht="4.5" customHeight="1" thickBot="1" x14ac:dyDescent="0.3">
      <c r="B40" s="7"/>
      <c r="C40" s="296"/>
      <c r="D40" s="296"/>
      <c r="E40" s="296"/>
      <c r="F40" s="296"/>
      <c r="G40" s="296"/>
      <c r="H40" s="296"/>
      <c r="I40" s="296"/>
      <c r="J40" s="296"/>
      <c r="K40" s="296"/>
      <c r="L40" s="296"/>
      <c r="M40" s="296"/>
      <c r="N40" s="9"/>
    </row>
  </sheetData>
  <sheetProtection algorithmName="SHA-512" hashValue="DwzDWamaH7pbgVI7fRJcYAASW2uqF4epjWrUVfidtWtJWHQZX+K1AGvrWrcq1Gz/6EIk44eyiFNOwbILx07oSg==" saltValue="64wD4QQtakkAaoLVFDxHMg==" spinCount="100000" sheet="1" selectLockedCells="1"/>
  <mergeCells count="20">
    <mergeCell ref="F3:M3"/>
    <mergeCell ref="E4:M6"/>
    <mergeCell ref="F13:J13"/>
    <mergeCell ref="F16:J16"/>
    <mergeCell ref="F8:J8"/>
    <mergeCell ref="F14:J14"/>
    <mergeCell ref="F15:J15"/>
    <mergeCell ref="F37:J37"/>
    <mergeCell ref="F38:J38"/>
    <mergeCell ref="F17:J17"/>
    <mergeCell ref="F18:J18"/>
    <mergeCell ref="F19:J19"/>
    <mergeCell ref="F30:J30"/>
    <mergeCell ref="F34:J35"/>
    <mergeCell ref="F36:J36"/>
    <mergeCell ref="F23:J23"/>
    <mergeCell ref="F25:J25"/>
    <mergeCell ref="F26:J26"/>
    <mergeCell ref="E28:M28"/>
    <mergeCell ref="E31:M31"/>
  </mergeCells>
  <pageMargins left="0.70866141732283472" right="0.70866141732283472" top="0.74803149606299213" bottom="0.74803149606299213" header="0.31496062992125984" footer="0.31496062992125984"/>
  <pageSetup paperSize="9" orientation="portrait" r:id="rId1"/>
  <headerFooter>
    <oddHeader>&amp;LPhosphate Budget Calculator&amp;CStage 3</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00000000-000E-0000-0500-000001000000}">
            <xm:f>$K$30&gt;'Stage 2'!$K$41</xm:f>
            <x14:dxf>
              <fill>
                <patternFill>
                  <bgColor rgb="FFFF0000"/>
                </patternFill>
              </fill>
            </x14:dxf>
          </x14:cfRule>
          <x14:cfRule type="expression" priority="2" id="{00000000-000E-0000-0500-000002000000}">
            <xm:f>$K$30='Stage 2'!$K$41</xm:f>
            <x14:dxf>
              <fill>
                <patternFill>
                  <bgColor theme="7" tint="0.79998168889431442"/>
                </patternFill>
              </fill>
            </x14:dxf>
          </x14:cfRule>
          <x14:cfRule type="expression" priority="3" id="{00000000-000E-0000-0500-000003000000}">
            <xm:f>$K$30&lt;'Stage 2'!$K$41</xm:f>
            <x14:dxf>
              <fill>
                <patternFill>
                  <bgColor rgb="FFFF0000"/>
                </patternFill>
              </fill>
            </x14:dxf>
          </x14:cfRule>
          <xm:sqref>K30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A4D9-ABE7-4CB5-A613-49EAF5B63F5C}">
  <sheetPr>
    <tabColor rgb="FFD6F4FE"/>
    <pageSetUpPr fitToPage="1"/>
  </sheetPr>
  <dimension ref="A1:AG61"/>
  <sheetViews>
    <sheetView zoomScale="85" zoomScaleNormal="85" workbookViewId="0">
      <selection activeCell="M12" sqref="M12"/>
    </sheetView>
  </sheetViews>
  <sheetFormatPr defaultRowHeight="13.2" x14ac:dyDescent="0.25"/>
  <cols>
    <col min="2" max="3" width="0.77734375" customWidth="1"/>
    <col min="4" max="4" width="2.21875" customWidth="1"/>
    <col min="5" max="5" width="9.5546875" customWidth="1"/>
    <col min="9" max="9" width="12.21875" customWidth="1"/>
    <col min="10" max="10" width="34.21875" customWidth="1"/>
    <col min="11" max="11" width="10.77734375" customWidth="1"/>
    <col min="12" max="12" width="1.21875" customWidth="1"/>
    <col min="13" max="13" width="11.21875" customWidth="1"/>
    <col min="14" max="14" width="1.44140625" customWidth="1"/>
    <col min="15" max="15" width="11.21875" customWidth="1"/>
    <col min="16" max="16" width="11.44140625" customWidth="1"/>
    <col min="17" max="17" width="3.77734375" customWidth="1"/>
    <col min="18" max="18" width="27.21875" customWidth="1"/>
    <col min="19" max="19" width="20.77734375" customWidth="1"/>
    <col min="20" max="20" width="1.77734375" customWidth="1"/>
    <col min="21" max="21" width="0.77734375" customWidth="1"/>
    <col min="22" max="22" width="4.44140625" customWidth="1"/>
    <col min="23" max="23" width="10.21875" hidden="1" customWidth="1"/>
  </cols>
  <sheetData>
    <row r="1" spans="1:33" ht="14.4" thickBot="1" x14ac:dyDescent="0.35">
      <c r="A1" s="40" t="s">
        <v>30</v>
      </c>
    </row>
    <row r="2" spans="1:33" ht="3.6" customHeight="1" x14ac:dyDescent="0.25">
      <c r="B2" s="1"/>
      <c r="C2" s="2"/>
      <c r="D2" s="2"/>
      <c r="E2" s="2"/>
      <c r="F2" s="2"/>
      <c r="G2" s="2"/>
      <c r="H2" s="2"/>
      <c r="I2" s="2"/>
      <c r="J2" s="2"/>
      <c r="K2" s="2"/>
      <c r="L2" s="2"/>
      <c r="M2" s="2"/>
      <c r="N2" s="2"/>
      <c r="O2" s="2"/>
      <c r="P2" s="2"/>
      <c r="Q2" s="2"/>
      <c r="R2" s="2"/>
      <c r="S2" s="2"/>
      <c r="T2" s="2"/>
      <c r="U2" s="3"/>
    </row>
    <row r="3" spans="1:33" ht="28.5" customHeight="1" x14ac:dyDescent="0.3">
      <c r="B3" s="4"/>
      <c r="C3" s="40"/>
      <c r="D3" s="278"/>
      <c r="E3" s="197" t="s">
        <v>30</v>
      </c>
      <c r="F3" s="441" t="s">
        <v>489</v>
      </c>
      <c r="G3" s="441"/>
      <c r="H3" s="441"/>
      <c r="I3" s="441"/>
      <c r="J3" s="441"/>
      <c r="K3" s="441"/>
      <c r="L3" s="441"/>
      <c r="M3" s="441"/>
      <c r="N3" s="441"/>
      <c r="O3" s="441"/>
      <c r="P3" s="441"/>
      <c r="Q3" s="441"/>
      <c r="R3" s="441"/>
      <c r="S3" s="441"/>
      <c r="T3" s="441"/>
      <c r="U3" s="297"/>
      <c r="V3" s="20"/>
      <c r="W3" s="20"/>
      <c r="X3" s="20"/>
      <c r="Y3" s="20"/>
      <c r="Z3" s="20"/>
      <c r="AA3" s="20"/>
      <c r="AB3" s="20"/>
      <c r="AC3" s="20"/>
      <c r="AD3" s="20"/>
      <c r="AE3" s="20"/>
      <c r="AF3" s="20"/>
      <c r="AG3" s="20"/>
    </row>
    <row r="4" spans="1:33" ht="2.1" customHeight="1" x14ac:dyDescent="0.3">
      <c r="B4" s="4"/>
      <c r="C4" s="54"/>
      <c r="D4" s="279"/>
      <c r="E4" s="455" t="s">
        <v>598</v>
      </c>
      <c r="F4" s="455"/>
      <c r="G4" s="455"/>
      <c r="H4" s="455"/>
      <c r="I4" s="455"/>
      <c r="J4" s="455"/>
      <c r="K4" s="455"/>
      <c r="L4" s="455"/>
      <c r="M4" s="455"/>
      <c r="N4" s="455"/>
      <c r="O4" s="455"/>
      <c r="P4" s="455"/>
      <c r="Q4" s="455"/>
      <c r="R4" s="455"/>
      <c r="S4" s="455"/>
      <c r="T4" s="455"/>
      <c r="U4" s="297"/>
      <c r="V4" s="20"/>
      <c r="W4" s="20"/>
      <c r="X4" s="20"/>
      <c r="Y4" s="20"/>
      <c r="Z4" s="20"/>
      <c r="AA4" s="20"/>
      <c r="AB4" s="20"/>
      <c r="AC4" s="20"/>
      <c r="AD4" s="20"/>
      <c r="AE4" s="20"/>
      <c r="AF4" s="20"/>
      <c r="AG4" s="20"/>
    </row>
    <row r="5" spans="1:33" ht="15.6" x14ac:dyDescent="0.3">
      <c r="B5" s="4"/>
      <c r="C5" s="54"/>
      <c r="D5" s="279"/>
      <c r="E5" s="455"/>
      <c r="F5" s="455"/>
      <c r="G5" s="455"/>
      <c r="H5" s="455"/>
      <c r="I5" s="455"/>
      <c r="J5" s="455"/>
      <c r="K5" s="455"/>
      <c r="L5" s="455"/>
      <c r="M5" s="455"/>
      <c r="N5" s="455"/>
      <c r="O5" s="455"/>
      <c r="P5" s="455"/>
      <c r="Q5" s="455"/>
      <c r="R5" s="455"/>
      <c r="S5" s="455"/>
      <c r="T5" s="455"/>
      <c r="U5" s="297"/>
      <c r="V5" s="20"/>
      <c r="W5" s="20"/>
      <c r="X5" s="20"/>
      <c r="Y5" s="20"/>
      <c r="Z5" s="20"/>
      <c r="AA5" s="20"/>
      <c r="AB5" s="20"/>
      <c r="AC5" s="20"/>
      <c r="AD5" s="20"/>
      <c r="AE5" s="20"/>
      <c r="AF5" s="20"/>
      <c r="AG5" s="20"/>
    </row>
    <row r="6" spans="1:33" ht="36.6" customHeight="1" x14ac:dyDescent="0.3">
      <c r="B6" s="4"/>
      <c r="C6" s="42"/>
      <c r="D6" s="227"/>
      <c r="E6" s="455"/>
      <c r="F6" s="455"/>
      <c r="G6" s="455"/>
      <c r="H6" s="455"/>
      <c r="I6" s="455"/>
      <c r="J6" s="455"/>
      <c r="K6" s="455"/>
      <c r="L6" s="455"/>
      <c r="M6" s="455"/>
      <c r="N6" s="455"/>
      <c r="O6" s="455"/>
      <c r="P6" s="455"/>
      <c r="Q6" s="455"/>
      <c r="R6" s="455"/>
      <c r="S6" s="455"/>
      <c r="T6" s="455"/>
      <c r="U6" s="297"/>
      <c r="V6" s="20"/>
      <c r="W6" s="20"/>
      <c r="X6" s="20"/>
      <c r="Y6" s="20"/>
      <c r="Z6" s="20"/>
      <c r="AA6" s="20"/>
      <c r="AB6" s="20"/>
      <c r="AC6" s="20"/>
      <c r="AD6" s="20"/>
      <c r="AE6" s="20"/>
      <c r="AF6" s="20"/>
      <c r="AG6" s="20"/>
    </row>
    <row r="7" spans="1:33" ht="11.1" customHeight="1" x14ac:dyDescent="0.3">
      <c r="B7" s="4"/>
      <c r="C7" s="42"/>
      <c r="D7" s="272"/>
      <c r="E7" s="280"/>
      <c r="F7" s="280"/>
      <c r="G7" s="280"/>
      <c r="H7" s="280"/>
      <c r="I7" s="280"/>
      <c r="J7" s="280"/>
      <c r="K7" s="280"/>
      <c r="L7" s="280"/>
      <c r="M7" s="280"/>
      <c r="N7" s="280"/>
      <c r="O7" s="280"/>
      <c r="P7" s="280"/>
      <c r="Q7" s="280"/>
      <c r="R7" s="280"/>
      <c r="S7" s="280"/>
      <c r="T7" s="280"/>
      <c r="U7" s="297"/>
      <c r="V7" s="20"/>
      <c r="W7" s="20"/>
      <c r="X7" s="20"/>
      <c r="Y7" s="20"/>
      <c r="Z7" s="20"/>
      <c r="AA7" s="20"/>
      <c r="AB7" s="20"/>
      <c r="AC7" s="20"/>
      <c r="AD7" s="20"/>
      <c r="AE7" s="20"/>
      <c r="AF7" s="20"/>
      <c r="AG7" s="20"/>
    </row>
    <row r="8" spans="1:33" ht="11.1" customHeight="1" x14ac:dyDescent="0.3">
      <c r="B8" s="4"/>
      <c r="C8" s="42"/>
      <c r="D8" s="227"/>
      <c r="E8" s="237"/>
      <c r="F8" s="237"/>
      <c r="G8" s="237"/>
      <c r="H8" s="237"/>
      <c r="I8" s="237"/>
      <c r="J8" s="237"/>
      <c r="K8" s="234" t="s">
        <v>533</v>
      </c>
      <c r="L8" s="234"/>
      <c r="M8" s="234" t="str">
        <f>IF(ISNUMBER('Stage 1'!L52),"Post 2025","")</f>
        <v/>
      </c>
      <c r="N8" s="234"/>
      <c r="O8" s="234" t="s">
        <v>532</v>
      </c>
      <c r="P8" s="237"/>
      <c r="Q8" s="237"/>
      <c r="R8" s="452" t="s">
        <v>143</v>
      </c>
      <c r="S8" s="452"/>
      <c r="T8" s="237"/>
      <c r="U8" s="297"/>
      <c r="V8" s="20"/>
      <c r="W8" s="20"/>
      <c r="X8" s="20"/>
      <c r="Y8" s="20"/>
      <c r="Z8" s="20"/>
      <c r="AA8" s="20"/>
      <c r="AB8" s="20"/>
      <c r="AC8" s="20"/>
      <c r="AD8" s="20"/>
      <c r="AE8" s="20"/>
      <c r="AF8" s="20"/>
      <c r="AG8" s="20"/>
    </row>
    <row r="9" spans="1:33" ht="11.1" customHeight="1" x14ac:dyDescent="0.3">
      <c r="B9" s="4"/>
      <c r="C9" s="42"/>
      <c r="D9" s="227"/>
      <c r="E9" s="237"/>
      <c r="F9" s="237"/>
      <c r="G9" s="237"/>
      <c r="H9" s="237"/>
      <c r="I9" s="237"/>
      <c r="J9" s="237"/>
      <c r="K9" s="237"/>
      <c r="L9" s="237"/>
      <c r="M9" s="237"/>
      <c r="N9" s="237"/>
      <c r="O9" s="237"/>
      <c r="P9" s="237"/>
      <c r="Q9" s="237"/>
      <c r="R9" s="298" t="s">
        <v>142</v>
      </c>
      <c r="S9" s="299">
        <f>'Stage 1'!V11+'Stage 1'!V14+'Stage 1'!V17</f>
        <v>0</v>
      </c>
      <c r="T9" s="237"/>
      <c r="U9" s="297"/>
      <c r="V9" s="20"/>
      <c r="W9" s="20"/>
      <c r="X9" s="20"/>
      <c r="Y9" s="20"/>
      <c r="Z9" s="20"/>
      <c r="AA9" s="20"/>
      <c r="AB9" s="20"/>
      <c r="AC9" s="20"/>
      <c r="AD9" s="20"/>
      <c r="AE9" s="20"/>
      <c r="AF9" s="20"/>
      <c r="AG9" s="20"/>
    </row>
    <row r="10" spans="1:33" ht="39.6" customHeight="1" x14ac:dyDescent="0.3">
      <c r="B10" s="4"/>
      <c r="C10" s="55"/>
      <c r="D10" s="227"/>
      <c r="E10" s="48" t="s">
        <v>5</v>
      </c>
      <c r="F10" s="375" t="s">
        <v>404</v>
      </c>
      <c r="G10" s="375"/>
      <c r="H10" s="375"/>
      <c r="I10" s="375"/>
      <c r="J10" s="375"/>
      <c r="K10" s="144" t="s">
        <v>2</v>
      </c>
      <c r="L10" s="144"/>
      <c r="M10" s="144" t="str">
        <f>IF(ISNUMBER('Stage 1'!L52),"Value","")</f>
        <v/>
      </c>
      <c r="N10" s="144"/>
      <c r="O10" s="144" t="s">
        <v>2</v>
      </c>
      <c r="P10" s="144" t="s">
        <v>3</v>
      </c>
      <c r="Q10" s="144"/>
      <c r="R10" s="298" t="str">
        <f>IF('Stage 1'!N40="Yes","WRC location","Onsite treatment plant")</f>
        <v>Onsite treatment plant</v>
      </c>
      <c r="S10" s="300" t="str">
        <f>IF('Stage 1'!N40="Yes",'Stage 1'!K50,'Stage 1'!AD50)</f>
        <v>Package treatment plant</v>
      </c>
      <c r="T10" s="49"/>
      <c r="U10" s="297"/>
      <c r="V10" s="20"/>
      <c r="W10" s="20"/>
      <c r="X10" s="20"/>
      <c r="Y10" s="20"/>
      <c r="Z10" s="20"/>
      <c r="AA10" s="20"/>
      <c r="AB10" s="20"/>
      <c r="AC10" s="20"/>
      <c r="AD10" s="20"/>
      <c r="AE10" s="20"/>
      <c r="AF10" s="20"/>
      <c r="AG10" s="20"/>
    </row>
    <row r="11" spans="1:33" ht="12" customHeight="1" x14ac:dyDescent="0.3">
      <c r="B11" s="4"/>
      <c r="C11" s="42"/>
      <c r="D11" s="227"/>
      <c r="E11" s="49"/>
      <c r="F11" s="66"/>
      <c r="G11" s="49"/>
      <c r="H11" s="49"/>
      <c r="I11" s="49"/>
      <c r="J11" s="49"/>
      <c r="K11" s="49"/>
      <c r="L11" s="49"/>
      <c r="M11" s="49"/>
      <c r="N11" s="49"/>
      <c r="O11" s="49"/>
      <c r="P11" s="49"/>
      <c r="Q11" s="49"/>
      <c r="R11" s="298" t="s">
        <v>534</v>
      </c>
      <c r="S11" s="301" t="e">
        <f>IF('Stage 1'!N40="Yes",'Stage 1'!K52,IF(ISTEXT('Stage 1'!AD52),'Stage 1'!AE52,'Stage 1'!AD52))</f>
        <v>#N/A</v>
      </c>
      <c r="T11" s="49"/>
      <c r="U11" s="297"/>
      <c r="V11" s="20"/>
      <c r="W11" s="20"/>
      <c r="X11" s="20"/>
      <c r="Y11" s="20"/>
      <c r="Z11" s="20"/>
      <c r="AA11" s="20"/>
      <c r="AB11" s="20"/>
      <c r="AC11" s="20"/>
      <c r="AD11" s="20"/>
      <c r="AE11" s="20"/>
      <c r="AF11" s="20"/>
      <c r="AG11" s="20"/>
    </row>
    <row r="12" spans="1:33" ht="15.6" x14ac:dyDescent="0.3">
      <c r="B12" s="4"/>
      <c r="C12" s="42"/>
      <c r="D12" s="227"/>
      <c r="E12" s="49"/>
      <c r="F12" s="390" t="s">
        <v>405</v>
      </c>
      <c r="G12" s="390"/>
      <c r="H12" s="390"/>
      <c r="I12" s="390"/>
      <c r="J12" s="390"/>
      <c r="K12" s="273">
        <f>'Stage 1'!U67</f>
        <v>0</v>
      </c>
      <c r="L12" s="269"/>
      <c r="M12" s="302" t="str">
        <f>IF(ISNUMBER('Stage 1'!L52),IF('Stage 1'!N40="Yes",(('Stage 1'!L52*'Stage 1'!V35)/1000000)*365.25,0),"")</f>
        <v/>
      </c>
      <c r="N12" s="269"/>
      <c r="O12" s="357">
        <f>'Stage 1'!W67</f>
        <v>0</v>
      </c>
      <c r="P12" s="246" t="s">
        <v>35</v>
      </c>
      <c r="Q12" s="246"/>
      <c r="R12" s="298" t="s">
        <v>535</v>
      </c>
      <c r="S12" s="301" t="e">
        <f>IF('Stage 1'!N40="Yes",'Stage 1'!K53,IF(ISTEXT('Stage 1'!AD53),'Stage 1'!AE53,'Stage 1'!AD53))</f>
        <v>#N/A</v>
      </c>
      <c r="T12" s="49"/>
      <c r="U12" s="297"/>
      <c r="V12" s="20"/>
      <c r="W12" s="20"/>
      <c r="X12" s="20"/>
      <c r="Y12" s="20"/>
      <c r="Z12" s="20"/>
      <c r="AA12" s="20"/>
      <c r="AB12" s="20"/>
      <c r="AC12" s="20"/>
      <c r="AD12" s="20"/>
      <c r="AE12" s="20"/>
      <c r="AF12" s="20"/>
      <c r="AG12" s="20"/>
    </row>
    <row r="13" spans="1:33" ht="15.6" x14ac:dyDescent="0.3">
      <c r="B13" s="4"/>
      <c r="C13" s="42"/>
      <c r="D13" s="227"/>
      <c r="E13" s="49"/>
      <c r="F13" s="390" t="s">
        <v>406</v>
      </c>
      <c r="G13" s="390"/>
      <c r="H13" s="390"/>
      <c r="I13" s="390"/>
      <c r="J13" s="390"/>
      <c r="K13" s="273">
        <f>'Stage 1'!U69</f>
        <v>0</v>
      </c>
      <c r="L13" s="269"/>
      <c r="M13" s="302"/>
      <c r="N13" s="269"/>
      <c r="O13" s="357">
        <f>'Stage 1'!W69</f>
        <v>0</v>
      </c>
      <c r="P13" s="246" t="s">
        <v>35</v>
      </c>
      <c r="Q13" s="246"/>
      <c r="R13" s="303" t="str">
        <f>IF(ISNUMBER('Stage 1'!L52),"Post 2025 TP discharge concentration","")</f>
        <v/>
      </c>
      <c r="S13" s="304" t="str">
        <f>IF(ISNUMBER('Stage 1'!L52),'Stage 1'!L52,"")</f>
        <v/>
      </c>
      <c r="T13" s="49"/>
      <c r="U13" s="297"/>
      <c r="V13" s="20"/>
      <c r="W13" s="20"/>
      <c r="X13" s="20"/>
      <c r="Y13" s="20"/>
      <c r="Z13" s="20"/>
      <c r="AA13" s="20"/>
      <c r="AB13" s="20"/>
      <c r="AC13" s="20"/>
      <c r="AD13" s="20"/>
      <c r="AE13" s="20"/>
      <c r="AF13" s="20"/>
      <c r="AG13" s="20"/>
    </row>
    <row r="14" spans="1:33" ht="15.6" x14ac:dyDescent="0.3">
      <c r="B14" s="4"/>
      <c r="C14" s="42"/>
      <c r="D14" s="227"/>
      <c r="E14" s="49"/>
      <c r="F14" s="146"/>
      <c r="G14" s="146"/>
      <c r="H14" s="146"/>
      <c r="I14" s="146"/>
      <c r="J14" s="146"/>
      <c r="K14" s="269"/>
      <c r="L14" s="269"/>
      <c r="M14" s="302"/>
      <c r="N14" s="269"/>
      <c r="O14" s="302"/>
      <c r="P14" s="246"/>
      <c r="Q14" s="246"/>
      <c r="R14" s="303" t="s">
        <v>536</v>
      </c>
      <c r="S14" s="305" t="e">
        <f>IF('Stage 1'!N40="Yes",'Stage 1'!M52,IF(ISTEXT('Stage 1'!AD52),'Stage 1'!AE52,'Stage 1'!AD52))</f>
        <v>#N/A</v>
      </c>
      <c r="T14" s="49"/>
      <c r="U14" s="297"/>
      <c r="V14" s="20"/>
      <c r="W14" s="20"/>
      <c r="X14" s="20"/>
      <c r="Y14" s="20"/>
      <c r="Z14" s="20"/>
      <c r="AA14" s="20"/>
      <c r="AB14" s="20"/>
      <c r="AC14" s="20"/>
      <c r="AD14" s="20"/>
      <c r="AE14" s="20"/>
      <c r="AF14" s="20"/>
      <c r="AG14" s="20"/>
    </row>
    <row r="15" spans="1:33" ht="15.6" x14ac:dyDescent="0.3">
      <c r="B15" s="4"/>
      <c r="C15" s="42"/>
      <c r="D15" s="227"/>
      <c r="E15" s="49"/>
      <c r="F15" s="146"/>
      <c r="G15" s="146"/>
      <c r="H15" s="146"/>
      <c r="I15" s="146"/>
      <c r="J15" s="146"/>
      <c r="K15" s="269"/>
      <c r="L15" s="269"/>
      <c r="M15" s="302"/>
      <c r="N15" s="269"/>
      <c r="O15" s="302"/>
      <c r="P15" s="246"/>
      <c r="Q15" s="246"/>
      <c r="R15" s="303" t="s">
        <v>537</v>
      </c>
      <c r="S15" s="305" t="e">
        <f>IF('Stage 1'!N40="Yes",'Stage 1'!M53,IF(ISTEXT('Stage 1'!AD53),'Stage 1'!AE53,'Stage 1'!AD53))</f>
        <v>#N/A</v>
      </c>
      <c r="T15" s="49"/>
      <c r="U15" s="297"/>
      <c r="V15" s="20"/>
      <c r="W15" s="20"/>
      <c r="X15" s="20"/>
      <c r="Y15" s="20"/>
      <c r="Z15" s="20"/>
      <c r="AA15" s="20"/>
      <c r="AB15" s="20"/>
      <c r="AC15" s="20"/>
      <c r="AD15" s="20"/>
      <c r="AE15" s="20"/>
      <c r="AF15" s="20"/>
      <c r="AG15" s="20"/>
    </row>
    <row r="16" spans="1:33" ht="8.5500000000000007" customHeight="1" x14ac:dyDescent="0.3">
      <c r="B16" s="4"/>
      <c r="C16" s="42"/>
      <c r="D16" s="227"/>
      <c r="E16" s="49"/>
      <c r="F16" s="49"/>
      <c r="G16" s="49"/>
      <c r="H16" s="49"/>
      <c r="I16" s="49"/>
      <c r="J16" s="49"/>
      <c r="K16" s="49"/>
      <c r="L16" s="49"/>
      <c r="M16" s="49"/>
      <c r="N16" s="49"/>
      <c r="O16" s="49"/>
      <c r="P16" s="49"/>
      <c r="Q16" s="49"/>
      <c r="R16" s="49"/>
      <c r="S16" s="49"/>
      <c r="T16" s="49"/>
      <c r="U16" s="297"/>
      <c r="V16" s="20"/>
      <c r="W16" s="20"/>
      <c r="X16" s="20"/>
      <c r="Y16" s="20"/>
      <c r="Z16" s="20"/>
      <c r="AA16" s="20"/>
      <c r="AB16" s="20"/>
      <c r="AC16" s="20"/>
      <c r="AD16" s="20"/>
      <c r="AE16" s="20"/>
      <c r="AF16" s="20"/>
      <c r="AG16" s="20"/>
    </row>
    <row r="17" spans="2:33" ht="12" customHeight="1" x14ac:dyDescent="0.3">
      <c r="B17" s="4"/>
      <c r="C17" s="42"/>
      <c r="D17" s="272"/>
      <c r="E17" s="259"/>
      <c r="F17" s="259"/>
      <c r="G17" s="259"/>
      <c r="H17" s="259"/>
      <c r="I17" s="259"/>
      <c r="J17" s="259"/>
      <c r="K17" s="259"/>
      <c r="L17" s="259"/>
      <c r="M17" s="259"/>
      <c r="N17" s="259"/>
      <c r="O17" s="259"/>
      <c r="P17" s="259"/>
      <c r="Q17" s="259"/>
      <c r="R17" s="259"/>
      <c r="S17" s="259"/>
      <c r="T17" s="259"/>
      <c r="U17" s="297"/>
      <c r="V17" s="20"/>
      <c r="W17" s="20"/>
      <c r="X17" s="20"/>
      <c r="Y17" s="20"/>
      <c r="Z17" s="20"/>
      <c r="AA17" s="20"/>
      <c r="AB17" s="20"/>
      <c r="AC17" s="20"/>
      <c r="AD17" s="20"/>
      <c r="AE17" s="20"/>
      <c r="AF17" s="20"/>
      <c r="AG17" s="20"/>
    </row>
    <row r="18" spans="2:33" ht="15.6" x14ac:dyDescent="0.3">
      <c r="B18" s="4"/>
      <c r="C18" s="42"/>
      <c r="D18" s="227"/>
      <c r="E18" s="48" t="s">
        <v>8</v>
      </c>
      <c r="F18" s="375" t="s">
        <v>490</v>
      </c>
      <c r="G18" s="375"/>
      <c r="H18" s="375"/>
      <c r="I18" s="375"/>
      <c r="J18" s="375"/>
      <c r="K18" s="144" t="s">
        <v>2</v>
      </c>
      <c r="L18" s="144"/>
      <c r="M18" s="144" t="str">
        <f>IF(ISNUMBER('Stage 1'!L52),"Value","")</f>
        <v/>
      </c>
      <c r="N18" s="144"/>
      <c r="O18" s="144" t="s">
        <v>2</v>
      </c>
      <c r="P18" s="144" t="s">
        <v>3</v>
      </c>
      <c r="Q18" s="144"/>
      <c r="R18" s="298" t="s">
        <v>144</v>
      </c>
      <c r="S18" s="301">
        <f>'Stage 2'!K46</f>
        <v>0</v>
      </c>
      <c r="T18" s="49"/>
      <c r="U18" s="297"/>
      <c r="V18" s="20"/>
      <c r="W18" s="20"/>
      <c r="X18" s="20"/>
      <c r="Y18" s="20"/>
      <c r="Z18" s="20"/>
      <c r="AA18" s="20"/>
      <c r="AB18" s="20"/>
      <c r="AC18" s="20"/>
      <c r="AD18" s="20"/>
      <c r="AE18" s="20"/>
      <c r="AF18" s="20"/>
      <c r="AG18" s="20"/>
    </row>
    <row r="19" spans="2:33" ht="4.05" customHeight="1" x14ac:dyDescent="0.3">
      <c r="B19" s="4"/>
      <c r="C19" s="42"/>
      <c r="D19" s="227"/>
      <c r="E19" s="48"/>
      <c r="F19" s="49"/>
      <c r="G19" s="49"/>
      <c r="H19" s="49"/>
      <c r="I19" s="49"/>
      <c r="J19" s="49"/>
      <c r="K19" s="144"/>
      <c r="L19" s="144"/>
      <c r="M19" s="144"/>
      <c r="N19" s="144"/>
      <c r="O19" s="144"/>
      <c r="P19" s="144"/>
      <c r="Q19" s="144"/>
      <c r="R19" s="298"/>
      <c r="S19" s="301"/>
      <c r="T19" s="49"/>
      <c r="U19" s="297"/>
      <c r="V19" s="20"/>
      <c r="W19" s="20"/>
      <c r="X19" s="20"/>
      <c r="Y19" s="20"/>
      <c r="Z19" s="20"/>
      <c r="AA19" s="20"/>
      <c r="AB19" s="20"/>
      <c r="AC19" s="20"/>
      <c r="AD19" s="20"/>
      <c r="AE19" s="20"/>
      <c r="AF19" s="20"/>
      <c r="AG19" s="20"/>
    </row>
    <row r="20" spans="2:33" ht="15.6" x14ac:dyDescent="0.3">
      <c r="B20" s="4"/>
      <c r="C20" s="42"/>
      <c r="D20" s="227"/>
      <c r="E20" s="49"/>
      <c r="F20" s="390" t="s">
        <v>407</v>
      </c>
      <c r="G20" s="390"/>
      <c r="H20" s="390"/>
      <c r="I20" s="390"/>
      <c r="J20" s="390"/>
      <c r="K20" s="273">
        <f>(('Stage 3'!K36)-('Stage 2'!K46))</f>
        <v>0</v>
      </c>
      <c r="L20" s="269"/>
      <c r="M20" s="306" t="str">
        <f>IF(ISNUMBER('Stage 1'!L52),(('Stage 3'!K36)-('Stage 2'!K46)),"")</f>
        <v/>
      </c>
      <c r="N20" s="269"/>
      <c r="O20" s="357">
        <f>(('Stage 3'!K36)-('Stage 2'!K46))</f>
        <v>0</v>
      </c>
      <c r="P20" s="246" t="s">
        <v>35</v>
      </c>
      <c r="Q20" s="246"/>
      <c r="R20" s="298" t="s">
        <v>145</v>
      </c>
      <c r="S20" s="301">
        <f>'Stage 3'!K36</f>
        <v>0</v>
      </c>
      <c r="T20" s="49"/>
      <c r="U20" s="297"/>
      <c r="V20" s="20"/>
      <c r="W20" s="20"/>
      <c r="X20" s="20"/>
      <c r="Y20" s="20"/>
      <c r="Z20" s="20"/>
      <c r="AA20" s="20"/>
      <c r="AB20" s="20"/>
      <c r="AC20" s="20"/>
      <c r="AD20" s="20"/>
      <c r="AE20" s="20"/>
      <c r="AF20" s="20"/>
      <c r="AG20" s="20"/>
    </row>
    <row r="21" spans="2:33" ht="15.6" x14ac:dyDescent="0.3">
      <c r="B21" s="4"/>
      <c r="C21" s="42"/>
      <c r="D21" s="227"/>
      <c r="E21" s="49"/>
      <c r="F21" s="390" t="s">
        <v>408</v>
      </c>
      <c r="G21" s="390"/>
      <c r="H21" s="390"/>
      <c r="I21" s="390"/>
      <c r="J21" s="390"/>
      <c r="K21" s="273">
        <f>(('Stage 3'!K38)-('Stage 2'!K48))</f>
        <v>0</v>
      </c>
      <c r="L21" s="269"/>
      <c r="M21" s="302"/>
      <c r="N21" s="269"/>
      <c r="O21" s="357">
        <f>(('Stage 3'!K38)-('Stage 2'!K48))</f>
        <v>0</v>
      </c>
      <c r="P21" s="246" t="s">
        <v>35</v>
      </c>
      <c r="Q21" s="246"/>
      <c r="R21" s="298" t="s">
        <v>414</v>
      </c>
      <c r="S21" s="301">
        <f>'Stage 2'!K48</f>
        <v>0</v>
      </c>
      <c r="T21" s="49"/>
      <c r="U21" s="297"/>
      <c r="V21" s="20"/>
      <c r="W21" s="20"/>
      <c r="X21" s="20"/>
      <c r="Y21" s="20"/>
      <c r="Z21" s="20"/>
      <c r="AA21" s="20"/>
      <c r="AB21" s="20"/>
      <c r="AC21" s="20"/>
      <c r="AD21" s="20"/>
      <c r="AE21" s="20"/>
      <c r="AF21" s="20"/>
      <c r="AG21" s="20"/>
    </row>
    <row r="22" spans="2:33" ht="15.6" x14ac:dyDescent="0.3">
      <c r="B22" s="4"/>
      <c r="C22" s="42"/>
      <c r="D22" s="227"/>
      <c r="E22" s="49"/>
      <c r="F22" s="146"/>
      <c r="G22" s="146"/>
      <c r="H22" s="146"/>
      <c r="I22" s="146"/>
      <c r="J22" s="146"/>
      <c r="K22" s="269"/>
      <c r="L22" s="269"/>
      <c r="M22" s="302"/>
      <c r="N22" s="269"/>
      <c r="O22" s="302"/>
      <c r="P22" s="246"/>
      <c r="Q22" s="246"/>
      <c r="R22" s="298" t="s">
        <v>413</v>
      </c>
      <c r="S22" s="301">
        <f>'Stage 3'!K38</f>
        <v>0</v>
      </c>
      <c r="T22" s="49"/>
      <c r="U22" s="297"/>
      <c r="V22" s="20"/>
      <c r="W22" s="20"/>
      <c r="X22" s="20"/>
      <c r="Y22" s="20"/>
      <c r="Z22" s="20"/>
      <c r="AA22" s="20"/>
      <c r="AB22" s="20"/>
      <c r="AC22" s="20"/>
      <c r="AD22" s="20"/>
      <c r="AE22" s="20"/>
      <c r="AF22" s="20"/>
      <c r="AG22" s="20"/>
    </row>
    <row r="23" spans="2:33" ht="10.5" customHeight="1" x14ac:dyDescent="0.3">
      <c r="B23" s="4"/>
      <c r="C23" s="42"/>
      <c r="D23" s="227"/>
      <c r="E23" s="49"/>
      <c r="F23" s="49"/>
      <c r="G23" s="49"/>
      <c r="H23" s="49"/>
      <c r="I23" s="49"/>
      <c r="J23" s="49"/>
      <c r="K23" s="49"/>
      <c r="L23" s="49"/>
      <c r="M23" s="49"/>
      <c r="N23" s="49"/>
      <c r="O23" s="49"/>
      <c r="P23" s="49"/>
      <c r="Q23" s="49"/>
      <c r="R23" s="49"/>
      <c r="S23" s="49"/>
      <c r="T23" s="49"/>
      <c r="U23" s="297"/>
      <c r="V23" s="20"/>
      <c r="W23" s="20"/>
      <c r="X23" s="20"/>
      <c r="Y23" s="20"/>
      <c r="Z23" s="20"/>
      <c r="AA23" s="20"/>
      <c r="AB23" s="20"/>
      <c r="AC23" s="20"/>
      <c r="AD23" s="20"/>
      <c r="AE23" s="20"/>
      <c r="AF23" s="20"/>
      <c r="AG23" s="20"/>
    </row>
    <row r="24" spans="2:33" ht="15.6" x14ac:dyDescent="0.3">
      <c r="B24" s="4"/>
      <c r="C24" s="42"/>
      <c r="D24" s="227"/>
      <c r="E24" s="259"/>
      <c r="F24" s="259"/>
      <c r="G24" s="259"/>
      <c r="H24" s="259"/>
      <c r="I24" s="259"/>
      <c r="J24" s="259"/>
      <c r="K24" s="259"/>
      <c r="L24" s="259"/>
      <c r="M24" s="259"/>
      <c r="N24" s="259"/>
      <c r="O24" s="259"/>
      <c r="P24" s="259"/>
      <c r="Q24" s="259"/>
      <c r="R24" s="259"/>
      <c r="S24" s="259"/>
      <c r="T24" s="259"/>
      <c r="U24" s="297"/>
      <c r="V24" s="20"/>
      <c r="W24" s="20"/>
      <c r="X24" s="20"/>
      <c r="Y24" s="20"/>
      <c r="Z24" s="20"/>
      <c r="AA24" s="20"/>
      <c r="AB24" s="20"/>
      <c r="AC24" s="20"/>
      <c r="AD24" s="20"/>
      <c r="AE24" s="20"/>
      <c r="AF24" s="20"/>
      <c r="AG24" s="20"/>
    </row>
    <row r="25" spans="2:33" ht="15.6" x14ac:dyDescent="0.3">
      <c r="B25" s="4"/>
      <c r="C25" s="42"/>
      <c r="D25" s="227"/>
      <c r="E25" s="48" t="s">
        <v>12</v>
      </c>
      <c r="F25" s="375" t="s">
        <v>491</v>
      </c>
      <c r="G25" s="375"/>
      <c r="H25" s="375"/>
      <c r="I25" s="375"/>
      <c r="J25" s="375"/>
      <c r="K25" s="144" t="s">
        <v>2</v>
      </c>
      <c r="L25" s="144"/>
      <c r="M25" s="144" t="str">
        <f>IF(ISNUMBER('Stage 1'!L52),"Value","")</f>
        <v/>
      </c>
      <c r="N25" s="144"/>
      <c r="O25" s="144" t="s">
        <v>2</v>
      </c>
      <c r="P25" s="144" t="s">
        <v>3</v>
      </c>
      <c r="Q25" s="144"/>
      <c r="R25" s="144"/>
      <c r="S25" s="144"/>
      <c r="T25" s="49"/>
      <c r="U25" s="297"/>
      <c r="V25" s="20"/>
      <c r="W25" s="20"/>
      <c r="X25" s="20"/>
      <c r="Y25" s="20"/>
      <c r="Z25" s="20"/>
      <c r="AA25" s="20"/>
      <c r="AB25" s="20"/>
      <c r="AC25" s="20"/>
      <c r="AD25" s="20"/>
      <c r="AE25" s="20"/>
      <c r="AF25" s="20"/>
      <c r="AG25" s="20"/>
    </row>
    <row r="26" spans="2:33" ht="6.6" customHeight="1" x14ac:dyDescent="0.3">
      <c r="B26" s="4"/>
      <c r="C26" s="42"/>
      <c r="D26" s="227"/>
      <c r="E26" s="48"/>
      <c r="F26" s="49"/>
      <c r="G26" s="49"/>
      <c r="H26" s="49"/>
      <c r="I26" s="49"/>
      <c r="J26" s="49"/>
      <c r="K26" s="144"/>
      <c r="L26" s="144"/>
      <c r="M26" s="144"/>
      <c r="N26" s="144"/>
      <c r="O26" s="144"/>
      <c r="P26" s="144"/>
      <c r="Q26" s="144"/>
      <c r="R26" s="144"/>
      <c r="S26" s="144"/>
      <c r="T26" s="49"/>
      <c r="U26" s="297"/>
      <c r="V26" s="20"/>
      <c r="W26" s="20"/>
      <c r="X26" s="20"/>
      <c r="Y26" s="20"/>
      <c r="Z26" s="20"/>
      <c r="AA26" s="20"/>
      <c r="AB26" s="20"/>
      <c r="AC26" s="20"/>
      <c r="AD26" s="20"/>
      <c r="AE26" s="20"/>
      <c r="AF26" s="20"/>
      <c r="AG26" s="20"/>
    </row>
    <row r="27" spans="2:33" ht="15.6" x14ac:dyDescent="0.3">
      <c r="B27" s="4"/>
      <c r="C27" s="42"/>
      <c r="D27" s="227"/>
      <c r="E27" s="49"/>
      <c r="F27" s="390" t="s">
        <v>409</v>
      </c>
      <c r="G27" s="390"/>
      <c r="H27" s="390"/>
      <c r="I27" s="390"/>
      <c r="J27" s="390"/>
      <c r="K27" s="273">
        <f>K12+K20</f>
        <v>0</v>
      </c>
      <c r="L27" s="269"/>
      <c r="M27" s="306" t="str">
        <f>IF(ISNUMBER('Stage 1'!L52),M12+M20,"")</f>
        <v/>
      </c>
      <c r="N27" s="269"/>
      <c r="O27" s="357">
        <f>O12+O20</f>
        <v>0</v>
      </c>
      <c r="P27" s="246" t="s">
        <v>35</v>
      </c>
      <c r="Q27" s="246"/>
      <c r="R27" s="246"/>
      <c r="S27" s="246"/>
      <c r="T27" s="49"/>
      <c r="U27" s="297"/>
      <c r="V27" s="20"/>
      <c r="W27" s="20"/>
      <c r="X27" s="20"/>
      <c r="Y27" s="20"/>
      <c r="Z27" s="20"/>
      <c r="AA27" s="20"/>
      <c r="AB27" s="20"/>
      <c r="AC27" s="20"/>
      <c r="AD27" s="20"/>
      <c r="AE27" s="20"/>
      <c r="AF27" s="20"/>
      <c r="AG27" s="20"/>
    </row>
    <row r="28" spans="2:33" ht="15.6" x14ac:dyDescent="0.3">
      <c r="B28" s="4"/>
      <c r="C28" s="42"/>
      <c r="D28" s="227"/>
      <c r="E28" s="49"/>
      <c r="F28" s="146" t="s">
        <v>410</v>
      </c>
      <c r="G28" s="146"/>
      <c r="H28" s="146"/>
      <c r="I28" s="146"/>
      <c r="J28" s="146"/>
      <c r="K28" s="273">
        <f>K13+K21</f>
        <v>0</v>
      </c>
      <c r="L28" s="269"/>
      <c r="M28" s="302"/>
      <c r="N28" s="269"/>
      <c r="O28" s="357">
        <f>O13+O21</f>
        <v>0</v>
      </c>
      <c r="P28" s="246" t="s">
        <v>35</v>
      </c>
      <c r="Q28" s="246"/>
      <c r="R28" s="246"/>
      <c r="S28" s="246"/>
      <c r="T28" s="49"/>
      <c r="U28" s="297"/>
      <c r="V28" s="20"/>
      <c r="W28" s="20"/>
      <c r="X28" s="20"/>
      <c r="Y28" s="20"/>
      <c r="Z28" s="20"/>
      <c r="AA28" s="20"/>
      <c r="AB28" s="20"/>
      <c r="AC28" s="20"/>
      <c r="AD28" s="20"/>
      <c r="AE28" s="20"/>
      <c r="AF28" s="20"/>
      <c r="AG28" s="20"/>
    </row>
    <row r="29" spans="2:33" ht="15.6" x14ac:dyDescent="0.3">
      <c r="B29" s="4"/>
      <c r="C29" s="42"/>
      <c r="D29" s="227"/>
      <c r="E29" s="49"/>
      <c r="F29" s="49"/>
      <c r="G29" s="49"/>
      <c r="H29" s="49"/>
      <c r="I29" s="49"/>
      <c r="J29" s="49"/>
      <c r="K29" s="49"/>
      <c r="L29" s="49"/>
      <c r="M29" s="49"/>
      <c r="N29" s="49"/>
      <c r="O29" s="49"/>
      <c r="P29" s="49"/>
      <c r="Q29" s="49"/>
      <c r="R29" s="49"/>
      <c r="S29" s="49"/>
      <c r="T29" s="49"/>
      <c r="U29" s="297"/>
      <c r="V29" s="20"/>
      <c r="W29" s="20"/>
      <c r="X29" s="20"/>
      <c r="Y29" s="20"/>
      <c r="Z29" s="20"/>
      <c r="AA29" s="20"/>
      <c r="AB29" s="20"/>
      <c r="AC29" s="20"/>
      <c r="AD29" s="20"/>
      <c r="AE29" s="20"/>
      <c r="AF29" s="20"/>
      <c r="AG29" s="20"/>
    </row>
    <row r="30" spans="2:33" ht="15.6" x14ac:dyDescent="0.3">
      <c r="B30" s="4"/>
      <c r="C30" s="42"/>
      <c r="D30" s="227"/>
      <c r="E30" s="259"/>
      <c r="F30" s="259"/>
      <c r="G30" s="259"/>
      <c r="H30" s="259"/>
      <c r="I30" s="259"/>
      <c r="J30" s="259"/>
      <c r="K30" s="259"/>
      <c r="L30" s="259"/>
      <c r="M30" s="259"/>
      <c r="N30" s="259"/>
      <c r="O30" s="259"/>
      <c r="P30" s="259"/>
      <c r="Q30" s="259"/>
      <c r="R30" s="259"/>
      <c r="S30" s="259"/>
      <c r="T30" s="259"/>
      <c r="U30" s="297"/>
      <c r="V30" s="20"/>
      <c r="W30" s="20"/>
      <c r="X30" s="20"/>
      <c r="Y30" s="20"/>
      <c r="Z30" s="20"/>
      <c r="AA30" s="20"/>
      <c r="AB30" s="20"/>
      <c r="AC30" s="20"/>
      <c r="AD30" s="20"/>
      <c r="AE30" s="20"/>
      <c r="AF30" s="20"/>
      <c r="AG30" s="20"/>
    </row>
    <row r="31" spans="2:33" ht="15.6" x14ac:dyDescent="0.3">
      <c r="B31" s="4"/>
      <c r="C31" s="42"/>
      <c r="D31" s="227"/>
      <c r="E31" s="48" t="s">
        <v>14</v>
      </c>
      <c r="F31" s="375" t="s">
        <v>492</v>
      </c>
      <c r="G31" s="375"/>
      <c r="H31" s="375"/>
      <c r="I31" s="375"/>
      <c r="J31" s="375"/>
      <c r="K31" s="144" t="s">
        <v>2</v>
      </c>
      <c r="L31" s="144"/>
      <c r="M31" s="144" t="str">
        <f>IF(ISNUMBER('Stage 1'!L52),"Value","")</f>
        <v/>
      </c>
      <c r="N31" s="144"/>
      <c r="O31" s="144" t="s">
        <v>2</v>
      </c>
      <c r="P31" s="144" t="s">
        <v>3</v>
      </c>
      <c r="Q31" s="144"/>
      <c r="R31" s="144"/>
      <c r="S31" s="144"/>
      <c r="T31" s="49"/>
      <c r="U31" s="297"/>
      <c r="V31" s="20"/>
      <c r="W31" s="20"/>
      <c r="X31" s="20"/>
      <c r="Y31" s="20"/>
      <c r="Z31" s="20"/>
      <c r="AA31" s="20"/>
      <c r="AB31" s="20"/>
      <c r="AC31" s="20"/>
      <c r="AD31" s="20"/>
      <c r="AE31" s="20"/>
      <c r="AF31" s="20"/>
      <c r="AG31" s="20"/>
    </row>
    <row r="32" spans="2:33" ht="6" customHeight="1" x14ac:dyDescent="0.3">
      <c r="B32" s="4"/>
      <c r="C32" s="42"/>
      <c r="D32" s="227"/>
      <c r="E32" s="48"/>
      <c r="F32" s="49"/>
      <c r="G32" s="49"/>
      <c r="H32" s="49"/>
      <c r="I32" s="49"/>
      <c r="J32" s="49"/>
      <c r="K32" s="144"/>
      <c r="L32" s="144"/>
      <c r="M32" s="144"/>
      <c r="N32" s="144"/>
      <c r="O32" s="144"/>
      <c r="P32" s="144"/>
      <c r="Q32" s="144"/>
      <c r="R32" s="144"/>
      <c r="S32" s="144"/>
      <c r="T32" s="49"/>
      <c r="U32" s="297"/>
      <c r="V32" s="20"/>
      <c r="W32" s="20"/>
      <c r="X32" s="20"/>
      <c r="Y32" s="20"/>
      <c r="Z32" s="20"/>
      <c r="AA32" s="20"/>
      <c r="AB32" s="20"/>
      <c r="AC32" s="20"/>
      <c r="AD32" s="20"/>
      <c r="AE32" s="20"/>
      <c r="AF32" s="20"/>
      <c r="AG32" s="20"/>
    </row>
    <row r="33" spans="2:33" ht="16.05" customHeight="1" x14ac:dyDescent="0.3">
      <c r="B33" s="4"/>
      <c r="C33" s="42"/>
      <c r="D33" s="227"/>
      <c r="E33" s="48"/>
      <c r="F33" s="375" t="s">
        <v>65</v>
      </c>
      <c r="G33" s="375"/>
      <c r="H33" s="375"/>
      <c r="I33" s="375"/>
      <c r="J33" s="375"/>
      <c r="K33" s="243">
        <v>20</v>
      </c>
      <c r="L33" s="144"/>
      <c r="M33" s="144" t="str">
        <f>IF(ISNUMBER('Stage 1'!L52),20,"")</f>
        <v/>
      </c>
      <c r="N33" s="144"/>
      <c r="O33" s="358">
        <v>20</v>
      </c>
      <c r="P33" s="240" t="s">
        <v>54</v>
      </c>
      <c r="Q33" s="144"/>
      <c r="R33" s="144"/>
      <c r="S33" s="144"/>
      <c r="T33" s="49"/>
      <c r="U33" s="297"/>
      <c r="V33" s="20"/>
      <c r="W33" s="20"/>
      <c r="X33" s="20"/>
      <c r="Y33" s="20"/>
      <c r="Z33" s="20"/>
      <c r="AA33" s="20"/>
      <c r="AB33" s="20"/>
      <c r="AC33" s="20"/>
      <c r="AD33" s="20"/>
      <c r="AE33" s="20"/>
      <c r="AF33" s="20"/>
      <c r="AG33" s="20"/>
    </row>
    <row r="34" spans="2:33" ht="15" customHeight="1" x14ac:dyDescent="0.3">
      <c r="B34" s="4"/>
      <c r="C34" s="42"/>
      <c r="D34" s="227"/>
      <c r="E34" s="49"/>
      <c r="F34" s="375" t="s">
        <v>411</v>
      </c>
      <c r="G34" s="375"/>
      <c r="H34" s="375"/>
      <c r="I34" s="375"/>
      <c r="J34" s="375"/>
      <c r="K34" s="273">
        <f>IF(K27&gt;0,K27*(K33/100),K27*0)</f>
        <v>0</v>
      </c>
      <c r="L34" s="269"/>
      <c r="M34" s="269" t="str">
        <f>IF(ISNUMBER('Stage 1'!L52),IF(M27&gt;0,M27*(M33/100),M27*0),"")</f>
        <v/>
      </c>
      <c r="N34" s="269"/>
      <c r="O34" s="357">
        <f>IF(O27&gt;0,O27*(O33/100),O27*0)</f>
        <v>0</v>
      </c>
      <c r="P34" s="246" t="s">
        <v>35</v>
      </c>
      <c r="Q34" s="246"/>
      <c r="R34" s="246"/>
      <c r="S34" s="246"/>
      <c r="T34" s="49"/>
      <c r="U34" s="297"/>
      <c r="V34" s="20"/>
      <c r="W34" s="20"/>
      <c r="X34" s="20"/>
      <c r="Y34" s="20"/>
      <c r="Z34" s="20"/>
      <c r="AA34" s="20"/>
      <c r="AB34" s="20"/>
      <c r="AC34" s="20"/>
      <c r="AD34" s="20"/>
      <c r="AE34" s="20"/>
      <c r="AF34" s="20"/>
      <c r="AG34" s="20"/>
    </row>
    <row r="35" spans="2:33" ht="15.6" x14ac:dyDescent="0.3">
      <c r="B35" s="4"/>
      <c r="C35" s="42"/>
      <c r="D35" s="227"/>
      <c r="E35" s="49"/>
      <c r="F35" s="49" t="s">
        <v>412</v>
      </c>
      <c r="G35" s="49"/>
      <c r="H35" s="49"/>
      <c r="I35" s="49"/>
      <c r="J35" s="49"/>
      <c r="K35" s="273">
        <f>IF(K28&gt;0,K28*(K33/100),K28*0)</f>
        <v>0</v>
      </c>
      <c r="L35" s="269"/>
      <c r="M35" s="302"/>
      <c r="N35" s="269"/>
      <c r="O35" s="357">
        <f>IF(O28&gt;0,O28*(O33/100),O28*0)</f>
        <v>0</v>
      </c>
      <c r="P35" s="246" t="s">
        <v>35</v>
      </c>
      <c r="Q35" s="49"/>
      <c r="R35" s="49"/>
      <c r="S35" s="49"/>
      <c r="T35" s="49"/>
      <c r="U35" s="297"/>
      <c r="V35" s="20"/>
      <c r="W35" s="20" t="s">
        <v>438</v>
      </c>
      <c r="X35" s="20"/>
      <c r="Y35" s="20"/>
      <c r="Z35" s="20"/>
      <c r="AA35" s="20"/>
      <c r="AB35" s="20"/>
      <c r="AC35" s="20"/>
      <c r="AD35" s="20"/>
      <c r="AE35" s="20"/>
      <c r="AF35" s="20"/>
      <c r="AG35" s="20"/>
    </row>
    <row r="36" spans="2:33" ht="15.6" x14ac:dyDescent="0.3">
      <c r="B36" s="4"/>
      <c r="C36" s="42"/>
      <c r="D36" s="227"/>
      <c r="E36" s="49"/>
      <c r="F36" s="49"/>
      <c r="G36" s="49"/>
      <c r="H36" s="49"/>
      <c r="I36" s="49"/>
      <c r="J36" s="49"/>
      <c r="K36" s="49"/>
      <c r="L36" s="49"/>
      <c r="M36" s="49"/>
      <c r="N36" s="49"/>
      <c r="O36" s="49"/>
      <c r="P36" s="49"/>
      <c r="Q36" s="49"/>
      <c r="R36" s="49"/>
      <c r="S36" s="49"/>
      <c r="T36" s="49"/>
      <c r="U36" s="297"/>
      <c r="V36" s="20"/>
      <c r="W36" s="20" t="s">
        <v>245</v>
      </c>
      <c r="X36" s="20"/>
      <c r="Y36" s="20"/>
      <c r="Z36" s="20"/>
      <c r="AA36" s="20"/>
      <c r="AB36" s="20"/>
      <c r="AC36" s="20"/>
      <c r="AD36" s="20"/>
      <c r="AE36" s="20"/>
      <c r="AF36" s="20"/>
      <c r="AG36" s="20"/>
    </row>
    <row r="37" spans="2:33" ht="12.6" customHeight="1" x14ac:dyDescent="0.3">
      <c r="B37" s="4"/>
      <c r="C37" s="42"/>
      <c r="D37" s="227"/>
      <c r="E37" s="436" t="s">
        <v>599</v>
      </c>
      <c r="F37" s="436"/>
      <c r="G37" s="436"/>
      <c r="H37" s="436"/>
      <c r="I37" s="436"/>
      <c r="J37" s="436"/>
      <c r="K37" s="436"/>
      <c r="L37" s="436"/>
      <c r="M37" s="436"/>
      <c r="N37" s="436"/>
      <c r="O37" s="436"/>
      <c r="P37" s="436"/>
      <c r="Q37" s="436"/>
      <c r="R37" s="436"/>
      <c r="S37" s="436"/>
      <c r="T37" s="436"/>
      <c r="U37" s="297"/>
      <c r="V37" s="20"/>
      <c r="W37" s="20"/>
      <c r="X37" s="20"/>
      <c r="Y37" s="20"/>
      <c r="Z37" s="20"/>
      <c r="AA37" s="20"/>
      <c r="AB37" s="20"/>
      <c r="AC37" s="20"/>
      <c r="AD37" s="20"/>
      <c r="AE37" s="20"/>
      <c r="AF37" s="20"/>
      <c r="AG37" s="20"/>
    </row>
    <row r="38" spans="2:33" ht="38.1" customHeight="1" x14ac:dyDescent="0.3">
      <c r="B38" s="4"/>
      <c r="C38" s="42"/>
      <c r="D38" s="227"/>
      <c r="E38" s="436"/>
      <c r="F38" s="436"/>
      <c r="G38" s="436"/>
      <c r="H38" s="436"/>
      <c r="I38" s="436"/>
      <c r="J38" s="436"/>
      <c r="K38" s="436"/>
      <c r="L38" s="436"/>
      <c r="M38" s="436"/>
      <c r="N38" s="436"/>
      <c r="O38" s="436"/>
      <c r="P38" s="436"/>
      <c r="Q38" s="436"/>
      <c r="R38" s="436"/>
      <c r="S38" s="436"/>
      <c r="T38" s="436"/>
      <c r="U38" s="297"/>
      <c r="V38" s="20"/>
      <c r="W38" s="20" t="s">
        <v>538</v>
      </c>
      <c r="X38" s="20"/>
      <c r="Y38" s="20"/>
      <c r="Z38" s="20"/>
      <c r="AA38" s="20"/>
      <c r="AB38" s="20"/>
      <c r="AC38" s="20"/>
      <c r="AD38" s="20"/>
      <c r="AE38" s="20"/>
      <c r="AF38" s="20"/>
      <c r="AG38" s="20"/>
    </row>
    <row r="39" spans="2:33" ht="1.5" customHeight="1" x14ac:dyDescent="0.3">
      <c r="B39" s="4"/>
      <c r="C39" s="42"/>
      <c r="D39" s="227"/>
      <c r="E39" s="307"/>
      <c r="F39" s="307"/>
      <c r="G39" s="307"/>
      <c r="H39" s="307"/>
      <c r="I39" s="307"/>
      <c r="J39" s="307"/>
      <c r="K39" s="307"/>
      <c r="L39" s="307"/>
      <c r="M39" s="307"/>
      <c r="N39" s="307"/>
      <c r="O39" s="307"/>
      <c r="P39" s="307"/>
      <c r="Q39" s="307"/>
      <c r="R39" s="307"/>
      <c r="S39" s="307"/>
      <c r="T39" s="307"/>
      <c r="U39" s="297"/>
      <c r="V39" s="20"/>
      <c r="W39" s="20"/>
      <c r="X39" s="20"/>
      <c r="Y39" s="20"/>
      <c r="Z39" s="20"/>
      <c r="AA39" s="20"/>
      <c r="AB39" s="20"/>
      <c r="AC39" s="20"/>
      <c r="AD39" s="20"/>
      <c r="AE39" s="20"/>
      <c r="AF39" s="20"/>
      <c r="AG39" s="20"/>
    </row>
    <row r="40" spans="2:33" ht="15.6" x14ac:dyDescent="0.3">
      <c r="B40" s="4"/>
      <c r="C40" s="42"/>
      <c r="D40" s="227"/>
      <c r="E40" s="259"/>
      <c r="F40" s="259"/>
      <c r="G40" s="259"/>
      <c r="H40" s="259"/>
      <c r="I40" s="259"/>
      <c r="J40" s="259"/>
      <c r="K40" s="259"/>
      <c r="L40" s="259"/>
      <c r="M40" s="259"/>
      <c r="N40" s="259"/>
      <c r="O40" s="259"/>
      <c r="P40" s="259"/>
      <c r="Q40" s="259"/>
      <c r="R40" s="259"/>
      <c r="S40" s="259"/>
      <c r="T40" s="259"/>
      <c r="U40" s="297"/>
      <c r="V40" s="20"/>
      <c r="W40" s="20" t="s">
        <v>539</v>
      </c>
      <c r="X40" s="20"/>
      <c r="Y40" s="20"/>
      <c r="Z40" s="20"/>
      <c r="AA40" s="20"/>
      <c r="AB40" s="20"/>
      <c r="AC40" s="20"/>
      <c r="AD40" s="20"/>
      <c r="AE40" s="20"/>
      <c r="AF40" s="20"/>
      <c r="AG40" s="20"/>
    </row>
    <row r="41" spans="2:33" ht="15.6" x14ac:dyDescent="0.3">
      <c r="B41" s="4"/>
      <c r="C41" s="42"/>
      <c r="D41" s="227"/>
      <c r="E41" s="48" t="s">
        <v>27</v>
      </c>
      <c r="F41" s="390" t="s">
        <v>493</v>
      </c>
      <c r="G41" s="390"/>
      <c r="H41" s="390"/>
      <c r="I41" s="390"/>
      <c r="J41" s="390"/>
      <c r="K41" s="144" t="s">
        <v>2</v>
      </c>
      <c r="L41" s="144"/>
      <c r="M41" s="144" t="str">
        <f>IF(ISNUMBER('Stage 1'!L52),"Value","")</f>
        <v/>
      </c>
      <c r="N41" s="144"/>
      <c r="O41" s="144"/>
      <c r="P41" s="144" t="s">
        <v>3</v>
      </c>
      <c r="Q41" s="144"/>
      <c r="R41" s="144"/>
      <c r="S41" s="144"/>
      <c r="T41" s="49"/>
      <c r="U41" s="297"/>
      <c r="V41" s="20"/>
      <c r="W41" s="20" t="s">
        <v>540</v>
      </c>
      <c r="X41" s="20"/>
      <c r="Y41" s="20"/>
      <c r="Z41" s="20"/>
      <c r="AA41" s="20"/>
      <c r="AB41" s="20"/>
      <c r="AC41" s="20"/>
      <c r="AD41" s="20"/>
      <c r="AE41" s="20"/>
      <c r="AF41" s="20"/>
      <c r="AG41" s="20"/>
    </row>
    <row r="42" spans="2:33" ht="6.6" customHeight="1" x14ac:dyDescent="0.3">
      <c r="B42" s="4"/>
      <c r="C42" s="42"/>
      <c r="D42" s="227"/>
      <c r="E42" s="48"/>
      <c r="F42" s="49"/>
      <c r="G42" s="49"/>
      <c r="H42" s="49"/>
      <c r="I42" s="49"/>
      <c r="J42" s="49"/>
      <c r="K42" s="144"/>
      <c r="L42" s="144"/>
      <c r="M42" s="144"/>
      <c r="N42" s="144"/>
      <c r="O42" s="144"/>
      <c r="P42" s="144"/>
      <c r="Q42" s="144"/>
      <c r="R42" s="144"/>
      <c r="S42" s="144"/>
      <c r="T42" s="49"/>
      <c r="U42" s="297"/>
      <c r="V42" s="20"/>
      <c r="W42" s="20" t="s">
        <v>542</v>
      </c>
      <c r="X42" s="20"/>
      <c r="Y42" s="20"/>
      <c r="Z42" s="20"/>
      <c r="AA42" s="20"/>
      <c r="AB42" s="20"/>
      <c r="AC42" s="20"/>
      <c r="AD42" s="20"/>
      <c r="AE42" s="20"/>
      <c r="AF42" s="20"/>
      <c r="AG42" s="20"/>
    </row>
    <row r="43" spans="2:33" ht="15.6" x14ac:dyDescent="0.3">
      <c r="B43" s="4"/>
      <c r="C43" s="42"/>
      <c r="D43" s="227"/>
      <c r="E43" s="49"/>
      <c r="F43" s="390" t="s">
        <v>250</v>
      </c>
      <c r="G43" s="390"/>
      <c r="H43" s="390"/>
      <c r="I43" s="390"/>
      <c r="J43" s="390"/>
      <c r="K43" s="273">
        <f>K27+K34</f>
        <v>0</v>
      </c>
      <c r="L43" s="269"/>
      <c r="M43" s="306" t="str">
        <f>IF(ISNUMBER('Stage 1'!L52),M27+M34,"")</f>
        <v/>
      </c>
      <c r="N43" s="269"/>
      <c r="O43" s="357">
        <f>O27+O34</f>
        <v>0</v>
      </c>
      <c r="P43" s="246" t="s">
        <v>15</v>
      </c>
      <c r="Q43" s="246"/>
      <c r="R43" s="246"/>
      <c r="S43" s="246"/>
      <c r="T43" s="49"/>
      <c r="U43" s="297"/>
      <c r="V43" s="20"/>
      <c r="W43" s="20" t="s">
        <v>541</v>
      </c>
      <c r="X43" s="20"/>
      <c r="Y43" s="20"/>
      <c r="Z43" s="20"/>
      <c r="AA43" s="20"/>
      <c r="AB43" s="20"/>
      <c r="AC43" s="20"/>
      <c r="AD43" s="20"/>
      <c r="AE43" s="20"/>
      <c r="AF43" s="20"/>
      <c r="AG43" s="20"/>
    </row>
    <row r="44" spans="2:33" ht="15.6" x14ac:dyDescent="0.3">
      <c r="B44" s="4"/>
      <c r="C44" s="42"/>
      <c r="D44" s="227"/>
      <c r="E44" s="49"/>
      <c r="F44" s="390" t="s">
        <v>497</v>
      </c>
      <c r="G44" s="390"/>
      <c r="H44" s="390"/>
      <c r="I44" s="390"/>
      <c r="J44" s="390"/>
      <c r="K44" s="273">
        <f>K28+K35</f>
        <v>0</v>
      </c>
      <c r="L44" s="269"/>
      <c r="M44" s="302"/>
      <c r="N44" s="302"/>
      <c r="O44" s="357">
        <f>O28+O35</f>
        <v>0</v>
      </c>
      <c r="P44" s="246" t="s">
        <v>15</v>
      </c>
      <c r="Q44" s="49"/>
      <c r="R44" s="49"/>
      <c r="S44" s="49"/>
      <c r="T44" s="49"/>
      <c r="U44" s="297"/>
      <c r="V44" s="20"/>
      <c r="W44" s="20"/>
      <c r="X44" s="20"/>
      <c r="Y44" s="20"/>
      <c r="Z44" s="20"/>
      <c r="AA44" s="20"/>
      <c r="AB44" s="20"/>
      <c r="AC44" s="20"/>
      <c r="AD44" s="20"/>
      <c r="AE44" s="20"/>
      <c r="AF44" s="20"/>
      <c r="AG44" s="20"/>
    </row>
    <row r="45" spans="2:33" ht="15.6" x14ac:dyDescent="0.3">
      <c r="B45" s="4"/>
      <c r="C45" s="42"/>
      <c r="D45" s="227"/>
      <c r="E45" s="227"/>
      <c r="F45" s="227"/>
      <c r="G45" s="227"/>
      <c r="H45" s="227"/>
      <c r="I45" s="227"/>
      <c r="J45" s="227"/>
      <c r="K45" s="227"/>
      <c r="L45" s="227"/>
      <c r="M45" s="227"/>
      <c r="N45" s="227"/>
      <c r="O45" s="227"/>
      <c r="P45" s="227"/>
      <c r="Q45" s="227"/>
      <c r="R45" s="227"/>
      <c r="S45" s="227"/>
      <c r="T45" s="227"/>
      <c r="U45" s="297"/>
      <c r="V45" s="20"/>
      <c r="W45" s="20"/>
      <c r="X45" s="20"/>
      <c r="Y45" s="20"/>
      <c r="Z45" s="20"/>
      <c r="AA45" s="20"/>
      <c r="AB45" s="20"/>
      <c r="AC45" s="20"/>
      <c r="AD45" s="20"/>
      <c r="AE45" s="20"/>
      <c r="AF45" s="20"/>
      <c r="AG45" s="20"/>
    </row>
    <row r="46" spans="2:33" ht="12.6" customHeight="1" x14ac:dyDescent="0.3">
      <c r="B46" s="4"/>
      <c r="C46" s="42"/>
      <c r="D46" s="454" t="s">
        <v>543</v>
      </c>
      <c r="E46" s="454"/>
      <c r="F46" s="454"/>
      <c r="G46" s="454"/>
      <c r="H46" s="454"/>
      <c r="I46" s="454"/>
      <c r="J46" s="454"/>
      <c r="K46" s="454"/>
      <c r="L46" s="454"/>
      <c r="M46" s="454"/>
      <c r="N46" s="454"/>
      <c r="O46" s="454"/>
      <c r="P46" s="454"/>
      <c r="Q46" s="454"/>
      <c r="R46" s="454"/>
      <c r="S46" s="454"/>
      <c r="T46" s="454"/>
      <c r="U46" s="297"/>
      <c r="V46" s="20"/>
      <c r="W46" s="20"/>
      <c r="X46" s="20"/>
      <c r="Y46" s="20"/>
      <c r="Z46" s="20"/>
      <c r="AA46" s="20"/>
      <c r="AB46" s="20"/>
      <c r="AC46" s="20"/>
      <c r="AD46" s="20"/>
      <c r="AE46" s="20"/>
      <c r="AF46" s="20"/>
      <c r="AG46" s="20"/>
    </row>
    <row r="47" spans="2:33" ht="35.549999999999997" customHeight="1" x14ac:dyDescent="0.3">
      <c r="B47" s="4"/>
      <c r="C47" s="42"/>
      <c r="D47" s="453" t="str">
        <f>IF(K43&gt;0,W38,W36)</f>
        <v>Development will be Phosphate neutral - no mitigation will be required</v>
      </c>
      <c r="E47" s="453"/>
      <c r="F47" s="453"/>
      <c r="G47" s="453"/>
      <c r="H47" s="453"/>
      <c r="I47" s="453"/>
      <c r="J47" s="453"/>
      <c r="K47" s="453"/>
      <c r="L47" s="453"/>
      <c r="M47" s="453"/>
      <c r="N47" s="453"/>
      <c r="O47" s="453"/>
      <c r="P47" s="453"/>
      <c r="Q47" s="453"/>
      <c r="R47" s="453"/>
      <c r="S47" s="453"/>
      <c r="T47" s="453"/>
      <c r="U47" s="297"/>
      <c r="V47" s="20"/>
      <c r="W47" s="20"/>
      <c r="X47" s="20"/>
      <c r="Y47" s="20"/>
      <c r="Z47" s="20"/>
      <c r="AA47" s="20"/>
      <c r="AB47" s="20"/>
      <c r="AC47" s="20"/>
      <c r="AD47" s="20"/>
      <c r="AE47" s="20"/>
      <c r="AF47" s="20"/>
      <c r="AG47" s="20"/>
    </row>
    <row r="48" spans="2:33" ht="4.5" customHeight="1" x14ac:dyDescent="0.3">
      <c r="B48" s="4"/>
      <c r="C48" s="42"/>
      <c r="D48" s="453"/>
      <c r="E48" s="453"/>
      <c r="F48" s="453"/>
      <c r="G48" s="453"/>
      <c r="H48" s="453"/>
      <c r="I48" s="453"/>
      <c r="J48" s="453"/>
      <c r="K48" s="453"/>
      <c r="L48" s="453"/>
      <c r="M48" s="453"/>
      <c r="N48" s="453"/>
      <c r="O48" s="453"/>
      <c r="P48" s="453"/>
      <c r="Q48" s="453"/>
      <c r="R48" s="453"/>
      <c r="S48" s="453"/>
      <c r="T48" s="453"/>
      <c r="U48" s="297"/>
      <c r="V48" s="20"/>
      <c r="W48" s="20"/>
      <c r="X48" s="20"/>
      <c r="Y48" s="20"/>
      <c r="Z48" s="20"/>
      <c r="AA48" s="20"/>
      <c r="AB48" s="20"/>
      <c r="AC48" s="20"/>
      <c r="AD48" s="20"/>
      <c r="AE48" s="20"/>
      <c r="AF48" s="20"/>
      <c r="AG48" s="20"/>
    </row>
    <row r="49" spans="2:33" ht="13.05" customHeight="1" x14ac:dyDescent="0.3">
      <c r="B49" s="4"/>
      <c r="C49" s="42"/>
      <c r="D49" s="453" t="str">
        <f>IF(ISNUMBER('Stage 1'!L52),"Post 2025 TP loading","")</f>
        <v/>
      </c>
      <c r="E49" s="453"/>
      <c r="F49" s="453"/>
      <c r="G49" s="453"/>
      <c r="H49" s="453"/>
      <c r="I49" s="453"/>
      <c r="J49" s="453"/>
      <c r="K49" s="453"/>
      <c r="L49" s="453"/>
      <c r="M49" s="453"/>
      <c r="N49" s="453"/>
      <c r="O49" s="453"/>
      <c r="P49" s="453"/>
      <c r="Q49" s="453"/>
      <c r="R49" s="453"/>
      <c r="S49" s="453"/>
      <c r="T49" s="453"/>
      <c r="U49" s="297"/>
      <c r="V49" s="20"/>
      <c r="W49" s="20"/>
      <c r="X49" s="20"/>
      <c r="Y49" s="20"/>
      <c r="Z49" s="20"/>
      <c r="AA49" s="20"/>
      <c r="AB49" s="20"/>
      <c r="AC49" s="20"/>
      <c r="AD49" s="20"/>
      <c r="AE49" s="20"/>
      <c r="AF49" s="20"/>
      <c r="AG49" s="20"/>
    </row>
    <row r="50" spans="2:33" ht="35.549999999999997" customHeight="1" x14ac:dyDescent="0.3">
      <c r="B50" s="4"/>
      <c r="C50" s="42"/>
      <c r="D50" s="453" t="str">
        <f>IF(ISNUMBER('Stage 1'!L52),IF(M43&gt;0,W40,W36),"")</f>
        <v/>
      </c>
      <c r="E50" s="453"/>
      <c r="F50" s="453"/>
      <c r="G50" s="453"/>
      <c r="H50" s="453"/>
      <c r="I50" s="453"/>
      <c r="J50" s="453"/>
      <c r="K50" s="453"/>
      <c r="L50" s="453"/>
      <c r="M50" s="453"/>
      <c r="N50" s="453"/>
      <c r="O50" s="453"/>
      <c r="P50" s="453"/>
      <c r="Q50" s="453"/>
      <c r="R50" s="453"/>
      <c r="S50" s="453"/>
      <c r="T50" s="453"/>
      <c r="U50" s="297"/>
      <c r="V50" s="20"/>
      <c r="W50" s="20"/>
      <c r="X50" s="20"/>
      <c r="Y50" s="20"/>
      <c r="Z50" s="20"/>
      <c r="AA50" s="20"/>
      <c r="AB50" s="20"/>
      <c r="AC50" s="20"/>
      <c r="AD50" s="20"/>
      <c r="AE50" s="20"/>
      <c r="AF50" s="20"/>
      <c r="AG50" s="20"/>
    </row>
    <row r="51" spans="2:33" ht="4.05" customHeight="1" x14ac:dyDescent="0.3">
      <c r="B51" s="4"/>
      <c r="C51" s="42"/>
      <c r="D51" s="281"/>
      <c r="E51" s="281"/>
      <c r="F51" s="281"/>
      <c r="G51" s="281"/>
      <c r="H51" s="281"/>
      <c r="I51" s="281"/>
      <c r="J51" s="281"/>
      <c r="K51" s="281"/>
      <c r="L51" s="281"/>
      <c r="M51" s="281"/>
      <c r="N51" s="281"/>
      <c r="O51" s="281"/>
      <c r="P51" s="281"/>
      <c r="Q51" s="281"/>
      <c r="R51" s="281"/>
      <c r="S51" s="281"/>
      <c r="T51" s="281"/>
      <c r="U51" s="297"/>
      <c r="V51" s="20"/>
      <c r="W51" s="20"/>
      <c r="X51" s="20"/>
      <c r="Y51" s="20"/>
      <c r="Z51" s="20"/>
      <c r="AA51" s="20"/>
      <c r="AB51" s="20"/>
      <c r="AC51" s="20"/>
      <c r="AD51" s="20"/>
      <c r="AE51" s="20"/>
      <c r="AF51" s="20"/>
      <c r="AG51" s="20"/>
    </row>
    <row r="52" spans="2:33" ht="15.6" customHeight="1" x14ac:dyDescent="0.3">
      <c r="B52" s="4"/>
      <c r="C52" s="42"/>
      <c r="D52" s="453" t="s">
        <v>544</v>
      </c>
      <c r="E52" s="453"/>
      <c r="F52" s="453"/>
      <c r="G52" s="453"/>
      <c r="H52" s="453"/>
      <c r="I52" s="453"/>
      <c r="J52" s="453"/>
      <c r="K52" s="453"/>
      <c r="L52" s="453"/>
      <c r="M52" s="453"/>
      <c r="N52" s="453"/>
      <c r="O52" s="453"/>
      <c r="P52" s="453"/>
      <c r="Q52" s="453"/>
      <c r="R52" s="453"/>
      <c r="S52" s="453"/>
      <c r="T52" s="453"/>
      <c r="U52" s="297"/>
      <c r="V52" s="20"/>
      <c r="W52" s="20"/>
      <c r="X52" s="20"/>
      <c r="Y52" s="20"/>
      <c r="Z52" s="20"/>
      <c r="AA52" s="20"/>
      <c r="AB52" s="20"/>
      <c r="AC52" s="20"/>
      <c r="AD52" s="20"/>
      <c r="AE52" s="20"/>
      <c r="AF52" s="20"/>
      <c r="AG52" s="20"/>
    </row>
    <row r="53" spans="2:33" ht="35.549999999999997" customHeight="1" x14ac:dyDescent="0.3">
      <c r="B53" s="4"/>
      <c r="C53" s="42"/>
      <c r="D53" s="453" t="str">
        <f>IF(O43&gt;0,W42,W36)</f>
        <v>Development will be Phosphate neutral - no mitigation will be required</v>
      </c>
      <c r="E53" s="453"/>
      <c r="F53" s="453"/>
      <c r="G53" s="453"/>
      <c r="H53" s="453"/>
      <c r="I53" s="453"/>
      <c r="J53" s="453"/>
      <c r="K53" s="453"/>
      <c r="L53" s="453"/>
      <c r="M53" s="453"/>
      <c r="N53" s="453"/>
      <c r="O53" s="453"/>
      <c r="P53" s="453"/>
      <c r="Q53" s="453"/>
      <c r="R53" s="453"/>
      <c r="S53" s="453"/>
      <c r="T53" s="453"/>
      <c r="U53" s="297"/>
      <c r="V53" s="20"/>
      <c r="W53" s="20"/>
      <c r="X53" s="20"/>
      <c r="Y53" s="20"/>
      <c r="Z53" s="20"/>
      <c r="AA53" s="20"/>
      <c r="AB53" s="20"/>
      <c r="AC53" s="20"/>
      <c r="AD53" s="20"/>
      <c r="AE53" s="20"/>
      <c r="AF53" s="20"/>
      <c r="AG53" s="20"/>
    </row>
    <row r="54" spans="2:33" ht="9" customHeight="1" x14ac:dyDescent="0.3">
      <c r="B54" s="4"/>
      <c r="C54" s="42"/>
      <c r="D54" s="281"/>
      <c r="E54" s="281"/>
      <c r="F54" s="281"/>
      <c r="G54" s="281"/>
      <c r="H54" s="281"/>
      <c r="I54" s="281"/>
      <c r="J54" s="281"/>
      <c r="K54" s="281"/>
      <c r="L54" s="281"/>
      <c r="M54" s="281"/>
      <c r="N54" s="281"/>
      <c r="O54" s="281"/>
      <c r="P54" s="281"/>
      <c r="Q54" s="281"/>
      <c r="R54" s="281"/>
      <c r="S54" s="281"/>
      <c r="T54" s="281"/>
      <c r="U54" s="297"/>
      <c r="V54" s="20"/>
      <c r="W54" s="20"/>
      <c r="X54" s="20"/>
      <c r="Y54" s="20"/>
      <c r="Z54" s="20"/>
      <c r="AA54" s="20"/>
      <c r="AB54" s="20"/>
      <c r="AC54" s="20"/>
      <c r="AD54" s="20"/>
      <c r="AE54" s="20"/>
      <c r="AF54" s="20"/>
      <c r="AG54" s="20"/>
    </row>
    <row r="55" spans="2:33" ht="16.5" customHeight="1" x14ac:dyDescent="0.3">
      <c r="B55" s="4"/>
      <c r="C55" s="42"/>
      <c r="D55" s="453" t="s">
        <v>545</v>
      </c>
      <c r="E55" s="453"/>
      <c r="F55" s="453"/>
      <c r="G55" s="453"/>
      <c r="H55" s="453"/>
      <c r="I55" s="453"/>
      <c r="J55" s="453"/>
      <c r="K55" s="453"/>
      <c r="L55" s="453"/>
      <c r="M55" s="453"/>
      <c r="N55" s="453"/>
      <c r="O55" s="453"/>
      <c r="P55" s="453"/>
      <c r="Q55" s="453"/>
      <c r="R55" s="453"/>
      <c r="S55" s="453"/>
      <c r="T55" s="453"/>
      <c r="U55" s="297"/>
      <c r="V55" s="20"/>
      <c r="W55" s="20"/>
      <c r="X55" s="20"/>
      <c r="Y55" s="20"/>
      <c r="Z55" s="20"/>
      <c r="AA55" s="20"/>
      <c r="AB55" s="20"/>
      <c r="AC55" s="20"/>
      <c r="AD55" s="20"/>
      <c r="AE55" s="20"/>
      <c r="AF55" s="20"/>
      <c r="AG55" s="20"/>
    </row>
    <row r="56" spans="2:33" ht="35.549999999999997" customHeight="1" x14ac:dyDescent="0.3">
      <c r="B56" s="4"/>
      <c r="C56" s="42"/>
      <c r="D56" s="453" t="str">
        <f>IF(K44&gt;0,W41,W35)</f>
        <v>Development will be Nitrate neutral - no mitigation will be required</v>
      </c>
      <c r="E56" s="453"/>
      <c r="F56" s="453"/>
      <c r="G56" s="453"/>
      <c r="H56" s="453"/>
      <c r="I56" s="453"/>
      <c r="J56" s="453"/>
      <c r="K56" s="453"/>
      <c r="L56" s="453"/>
      <c r="M56" s="453"/>
      <c r="N56" s="453"/>
      <c r="O56" s="453"/>
      <c r="P56" s="453"/>
      <c r="Q56" s="453"/>
      <c r="R56" s="453"/>
      <c r="S56" s="453"/>
      <c r="T56" s="453"/>
      <c r="U56" s="297"/>
      <c r="V56" s="20"/>
      <c r="W56" s="20"/>
      <c r="X56" s="20"/>
      <c r="Y56" s="20"/>
      <c r="Z56" s="20"/>
      <c r="AA56" s="20"/>
      <c r="AB56" s="20"/>
      <c r="AC56" s="20"/>
      <c r="AD56" s="20"/>
      <c r="AE56" s="20"/>
      <c r="AF56" s="20"/>
      <c r="AG56" s="20"/>
    </row>
    <row r="57" spans="2:33" ht="8.1" customHeight="1" x14ac:dyDescent="0.3">
      <c r="B57" s="4"/>
      <c r="C57" s="42"/>
      <c r="D57" s="281"/>
      <c r="E57" s="281"/>
      <c r="F57" s="281"/>
      <c r="G57" s="281"/>
      <c r="H57" s="281"/>
      <c r="I57" s="281"/>
      <c r="J57" s="281"/>
      <c r="K57" s="281"/>
      <c r="L57" s="281"/>
      <c r="M57" s="281"/>
      <c r="N57" s="281"/>
      <c r="O57" s="281"/>
      <c r="P57" s="281"/>
      <c r="Q57" s="281"/>
      <c r="R57" s="281"/>
      <c r="S57" s="281"/>
      <c r="T57" s="281"/>
      <c r="U57" s="297"/>
      <c r="V57" s="20"/>
      <c r="W57" s="20"/>
      <c r="X57" s="20"/>
      <c r="Y57" s="20"/>
      <c r="Z57" s="20"/>
      <c r="AA57" s="20"/>
      <c r="AB57" s="20"/>
      <c r="AC57" s="20"/>
      <c r="AD57" s="20"/>
      <c r="AE57" s="20"/>
      <c r="AF57" s="20"/>
      <c r="AG57" s="20"/>
    </row>
    <row r="58" spans="2:33" ht="17.55" customHeight="1" x14ac:dyDescent="0.3">
      <c r="B58" s="4"/>
      <c r="C58" s="42"/>
      <c r="D58" s="453" t="s">
        <v>546</v>
      </c>
      <c r="E58" s="453"/>
      <c r="F58" s="453"/>
      <c r="G58" s="453"/>
      <c r="H58" s="453"/>
      <c r="I58" s="453"/>
      <c r="J58" s="453"/>
      <c r="K58" s="453"/>
      <c r="L58" s="453"/>
      <c r="M58" s="453"/>
      <c r="N58" s="453"/>
      <c r="O58" s="453"/>
      <c r="P58" s="453"/>
      <c r="Q58" s="453"/>
      <c r="R58" s="453"/>
      <c r="S58" s="453"/>
      <c r="T58" s="453"/>
      <c r="U58" s="297"/>
      <c r="V58" s="20"/>
      <c r="W58" s="20"/>
      <c r="X58" s="20"/>
      <c r="Y58" s="20"/>
      <c r="Z58" s="20"/>
      <c r="AA58" s="20"/>
      <c r="AB58" s="20"/>
      <c r="AC58" s="20"/>
      <c r="AD58" s="20"/>
      <c r="AE58" s="20"/>
      <c r="AF58" s="20"/>
      <c r="AG58" s="20"/>
    </row>
    <row r="59" spans="2:33" ht="42.6" customHeight="1" x14ac:dyDescent="0.3">
      <c r="B59" s="4"/>
      <c r="C59" s="42"/>
      <c r="D59" s="453" t="str">
        <f>IF(O44&gt;0,W43,W35)</f>
        <v>Development will be Nitrate neutral - no mitigation will be required</v>
      </c>
      <c r="E59" s="453"/>
      <c r="F59" s="453"/>
      <c r="G59" s="453"/>
      <c r="H59" s="453"/>
      <c r="I59" s="453"/>
      <c r="J59" s="453"/>
      <c r="K59" s="453"/>
      <c r="L59" s="453"/>
      <c r="M59" s="453"/>
      <c r="N59" s="453"/>
      <c r="O59" s="453"/>
      <c r="P59" s="453"/>
      <c r="Q59" s="453"/>
      <c r="R59" s="453"/>
      <c r="S59" s="453"/>
      <c r="T59" s="453"/>
      <c r="U59" s="297"/>
      <c r="V59" s="20"/>
      <c r="W59" s="20"/>
      <c r="X59" s="20"/>
      <c r="Y59" s="20"/>
      <c r="Z59" s="20"/>
      <c r="AA59" s="20"/>
      <c r="AB59" s="20"/>
      <c r="AC59" s="20"/>
      <c r="AD59" s="20"/>
      <c r="AE59" s="20"/>
      <c r="AF59" s="20"/>
      <c r="AG59" s="20"/>
    </row>
    <row r="60" spans="2:33" ht="6" customHeight="1" thickBot="1" x14ac:dyDescent="0.35">
      <c r="B60" s="7"/>
      <c r="C60" s="51"/>
      <c r="D60" s="271"/>
      <c r="E60" s="271"/>
      <c r="F60" s="271"/>
      <c r="G60" s="271"/>
      <c r="H60" s="271"/>
      <c r="I60" s="271"/>
      <c r="J60" s="271"/>
      <c r="K60" s="271"/>
      <c r="L60" s="271"/>
      <c r="M60" s="271"/>
      <c r="N60" s="271"/>
      <c r="O60" s="271"/>
      <c r="P60" s="271"/>
      <c r="Q60" s="271"/>
      <c r="R60" s="271"/>
      <c r="S60" s="271"/>
      <c r="T60" s="271"/>
      <c r="U60" s="308"/>
      <c r="V60" s="20"/>
      <c r="W60" s="20"/>
      <c r="X60" s="20"/>
      <c r="Y60" s="20"/>
      <c r="Z60" s="20"/>
      <c r="AA60" s="20"/>
      <c r="AB60" s="20"/>
      <c r="AC60" s="20"/>
      <c r="AD60" s="20"/>
      <c r="AE60" s="20"/>
      <c r="AF60" s="20"/>
      <c r="AG60" s="20"/>
    </row>
    <row r="61" spans="2:33" ht="15" x14ac:dyDescent="0.25">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row>
  </sheetData>
  <sheetProtection algorithmName="SHA-512" hashValue="jxlux2FwDZjQo4T69gGB3hq23p1mNf381d4AAC9wM/W2mnuPCqMkfibNQKyC0jiG2bpH7yENZHYVRfueLnqepg==" saltValue="d4dt7LNPCpiAJydmZJWNDQ==" spinCount="100000" sheet="1" selectLockedCells="1"/>
  <dataConsolidate/>
  <mergeCells count="29">
    <mergeCell ref="D52:T52"/>
    <mergeCell ref="D53:T53"/>
    <mergeCell ref="D58:T58"/>
    <mergeCell ref="D59:T59"/>
    <mergeCell ref="D55:T55"/>
    <mergeCell ref="D56:T56"/>
    <mergeCell ref="F3:T3"/>
    <mergeCell ref="E4:T6"/>
    <mergeCell ref="F10:J10"/>
    <mergeCell ref="F12:J12"/>
    <mergeCell ref="F18:J18"/>
    <mergeCell ref="D50:T50"/>
    <mergeCell ref="D46:T46"/>
    <mergeCell ref="D49:T49"/>
    <mergeCell ref="D47:T47"/>
    <mergeCell ref="E37:T38"/>
    <mergeCell ref="F44:J44"/>
    <mergeCell ref="D48:T48"/>
    <mergeCell ref="F34:J34"/>
    <mergeCell ref="F41:J41"/>
    <mergeCell ref="F43:J43"/>
    <mergeCell ref="R8:S8"/>
    <mergeCell ref="F13:J13"/>
    <mergeCell ref="F21:J21"/>
    <mergeCell ref="F20:J20"/>
    <mergeCell ref="F25:J25"/>
    <mergeCell ref="F27:J27"/>
    <mergeCell ref="F31:J31"/>
    <mergeCell ref="F33:J33"/>
  </mergeCells>
  <phoneticPr fontId="12" type="noConversion"/>
  <conditionalFormatting sqref="D58">
    <cfRule type="containsText" dxfId="12" priority="1" operator="containsText" text="stage">
      <formula>NOT(ISERROR(SEARCH("stage",D58)))</formula>
    </cfRule>
    <cfRule type="containsText" dxfId="11" priority="2" operator="containsText" text="neutral">
      <formula>NOT(ISERROR(SEARCH("neutral",D58)))</formula>
    </cfRule>
  </conditionalFormatting>
  <conditionalFormatting sqref="D47:T48 D49 D50:T51 D52:D57 D59">
    <cfRule type="containsText" dxfId="10" priority="21" operator="containsText" text="additional">
      <formula>NOT(ISERROR(SEARCH("additional",D47)))</formula>
    </cfRule>
    <cfRule type="containsText" dxfId="9" priority="22" operator="containsText" text="neutral">
      <formula>NOT(ISERROR(SEARCH("neutral",D47)))</formula>
    </cfRule>
  </conditionalFormatting>
  <pageMargins left="0.70866141732283472" right="0.70866141732283472" top="0.74803149606299213" bottom="0.74803149606299213" header="0.31496062992125984" footer="0.31496062992125984"/>
  <pageSetup paperSize="9" scale="68" orientation="landscape" horizontalDpi="360" verticalDpi="360" r:id="rId1"/>
  <headerFooter>
    <oddHeader>&amp;LPhosphate Budget Calculator&amp;CStage 4</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4" id="{6C74D4F2-C010-4572-A253-08A85E7792B7}">
            <xm:f>ISNUMBER('Stage 1'!N52)</xm:f>
            <x14:dxf>
              <fill>
                <patternFill>
                  <bgColor rgb="FFDDEBF7"/>
                </patternFill>
              </fill>
            </x14:dxf>
          </x14:cfRule>
          <xm:sqref>R13:R15</xm:sqref>
        </x14:conditionalFormatting>
        <x14:conditionalFormatting xmlns:xm="http://schemas.microsoft.com/office/excel/2006/main">
          <x14:cfRule type="expression" priority="3" id="{E5DE4842-40C3-4CE8-9B46-1EAB96431FFE}">
            <xm:f>ISNUMBER('Stage 1'!N52)</xm:f>
            <x14:dxf>
              <fill>
                <patternFill>
                  <bgColor rgb="FFDDEBF7"/>
                </patternFill>
              </fill>
            </x14:dxf>
          </x14:cfRule>
          <xm:sqref>S13:S15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E7A3-307D-4303-9418-5F1AB5D796ED}">
  <sheetPr>
    <tabColor theme="7" tint="0.79998168889431442"/>
    <pageSetUpPr fitToPage="1"/>
  </sheetPr>
  <dimension ref="A1:BA98"/>
  <sheetViews>
    <sheetView zoomScaleNormal="100" workbookViewId="0">
      <selection activeCell="K62" sqref="K62:M62"/>
    </sheetView>
  </sheetViews>
  <sheetFormatPr defaultRowHeight="13.2" zeroHeight="1" x14ac:dyDescent="0.25"/>
  <cols>
    <col min="2" max="3" width="0.77734375" customWidth="1"/>
    <col min="4" max="4" width="2.21875" customWidth="1"/>
    <col min="5" max="5" width="11" customWidth="1"/>
    <col min="7" max="7" width="10" customWidth="1"/>
    <col min="8" max="8" width="10.21875" customWidth="1"/>
    <col min="9" max="9" width="14" customWidth="1"/>
    <col min="10" max="10" width="13.5546875" customWidth="1"/>
    <col min="11" max="11" width="10" customWidth="1"/>
    <col min="12" max="12" width="2.21875" customWidth="1"/>
    <col min="13" max="13" width="10" customWidth="1"/>
    <col min="14" max="14" width="12.21875" customWidth="1"/>
    <col min="15" max="15" width="14.77734375" customWidth="1"/>
    <col min="16" max="16" width="10.5546875" customWidth="1"/>
    <col min="17" max="17" width="2.21875" customWidth="1"/>
    <col min="18" max="18" width="10.21875" customWidth="1"/>
    <col min="19" max="19" width="11.77734375" customWidth="1"/>
    <col min="20" max="20" width="5.44140625" customWidth="1"/>
    <col min="21" max="21" width="0.77734375" customWidth="1"/>
    <col min="22" max="22" width="12.21875" customWidth="1"/>
    <col min="24" max="24" width="25.5546875" customWidth="1"/>
    <col min="25" max="25" width="14.77734375" customWidth="1"/>
    <col min="26" max="26" width="11.77734375" customWidth="1"/>
    <col min="27" max="27" width="6.21875" hidden="1" customWidth="1"/>
    <col min="28" max="28" width="6.109375" hidden="1" customWidth="1"/>
    <col min="29" max="29" width="2.21875" customWidth="1"/>
    <col min="34" max="34" width="8.77734375" customWidth="1"/>
  </cols>
  <sheetData>
    <row r="1" spans="1:29" ht="8.5500000000000007" customHeight="1" thickBot="1" x14ac:dyDescent="0.35">
      <c r="A1" s="78" t="s">
        <v>548</v>
      </c>
    </row>
    <row r="2" spans="1:29" ht="11.55" customHeight="1" x14ac:dyDescent="0.3">
      <c r="B2" s="43"/>
      <c r="C2" s="44"/>
      <c r="D2" s="309"/>
      <c r="E2" s="309"/>
      <c r="F2" s="309"/>
      <c r="G2" s="309"/>
      <c r="H2" s="309"/>
      <c r="I2" s="309"/>
      <c r="J2" s="309"/>
      <c r="K2" s="309"/>
      <c r="L2" s="309"/>
      <c r="M2" s="309"/>
      <c r="N2" s="309"/>
      <c r="O2" s="309"/>
      <c r="P2" s="309"/>
      <c r="Q2" s="309"/>
      <c r="R2" s="309"/>
      <c r="S2" s="309"/>
      <c r="T2" s="309"/>
      <c r="U2" s="310"/>
      <c r="V2" s="229"/>
      <c r="W2" s="229"/>
      <c r="X2" s="229"/>
      <c r="Y2" s="229"/>
      <c r="Z2" s="229"/>
      <c r="AA2" s="229"/>
      <c r="AB2" s="229"/>
      <c r="AC2" s="229"/>
    </row>
    <row r="3" spans="1:29" ht="28.5" customHeight="1" x14ac:dyDescent="0.3">
      <c r="B3" s="46"/>
      <c r="C3" s="40"/>
      <c r="D3" s="278"/>
      <c r="E3" s="197" t="s">
        <v>548</v>
      </c>
      <c r="F3" s="441" t="s">
        <v>426</v>
      </c>
      <c r="G3" s="441"/>
      <c r="H3" s="441"/>
      <c r="I3" s="441"/>
      <c r="J3" s="441"/>
      <c r="K3" s="441"/>
      <c r="L3" s="441"/>
      <c r="M3" s="441"/>
      <c r="N3" s="441"/>
      <c r="O3" s="441"/>
      <c r="P3" s="441"/>
      <c r="Q3" s="441"/>
      <c r="R3" s="441"/>
      <c r="S3" s="441"/>
      <c r="T3" s="441"/>
      <c r="U3" s="235"/>
      <c r="V3" s="229"/>
      <c r="W3" s="229"/>
      <c r="X3" s="229"/>
      <c r="Y3" s="229"/>
      <c r="Z3" s="229"/>
      <c r="AA3" s="229"/>
      <c r="AB3" s="229"/>
      <c r="AC3" s="229"/>
    </row>
    <row r="4" spans="1:29" ht="6.75" customHeight="1" x14ac:dyDescent="0.3">
      <c r="B4" s="46"/>
      <c r="C4" s="54"/>
      <c r="D4" s="279"/>
      <c r="E4" s="436" t="s">
        <v>590</v>
      </c>
      <c r="F4" s="436"/>
      <c r="G4" s="436"/>
      <c r="H4" s="436"/>
      <c r="I4" s="436"/>
      <c r="J4" s="436"/>
      <c r="K4" s="436"/>
      <c r="L4" s="436"/>
      <c r="M4" s="436"/>
      <c r="N4" s="436"/>
      <c r="O4" s="436"/>
      <c r="P4" s="436"/>
      <c r="Q4" s="436"/>
      <c r="R4" s="436"/>
      <c r="S4" s="436"/>
      <c r="T4" s="436"/>
      <c r="U4" s="235"/>
      <c r="V4" s="229"/>
      <c r="W4" s="229"/>
      <c r="X4" s="229"/>
      <c r="Y4" s="229"/>
      <c r="Z4" s="229"/>
      <c r="AA4" s="229"/>
      <c r="AB4" s="229"/>
      <c r="AC4" s="229"/>
    </row>
    <row r="5" spans="1:29" ht="6.75" customHeight="1" x14ac:dyDescent="0.3">
      <c r="B5" s="46"/>
      <c r="C5" s="54"/>
      <c r="D5" s="279"/>
      <c r="E5" s="436"/>
      <c r="F5" s="436"/>
      <c r="G5" s="436"/>
      <c r="H5" s="436"/>
      <c r="I5" s="436"/>
      <c r="J5" s="436"/>
      <c r="K5" s="436"/>
      <c r="L5" s="436"/>
      <c r="M5" s="436"/>
      <c r="N5" s="436"/>
      <c r="O5" s="436"/>
      <c r="P5" s="436"/>
      <c r="Q5" s="436"/>
      <c r="R5" s="436"/>
      <c r="S5" s="436"/>
      <c r="T5" s="436"/>
      <c r="U5" s="235"/>
      <c r="V5" s="229"/>
      <c r="W5" s="229"/>
      <c r="X5" s="229"/>
      <c r="Y5" s="229"/>
      <c r="Z5" s="229"/>
      <c r="AA5" s="229"/>
      <c r="AB5" s="229"/>
      <c r="AC5" s="229"/>
    </row>
    <row r="6" spans="1:29" ht="24.75" customHeight="1" x14ac:dyDescent="0.3">
      <c r="B6" s="46"/>
      <c r="C6" s="42"/>
      <c r="D6" s="227"/>
      <c r="E6" s="436"/>
      <c r="F6" s="436"/>
      <c r="G6" s="436"/>
      <c r="H6" s="436"/>
      <c r="I6" s="436"/>
      <c r="J6" s="436"/>
      <c r="K6" s="436"/>
      <c r="L6" s="436"/>
      <c r="M6" s="436"/>
      <c r="N6" s="436"/>
      <c r="O6" s="436"/>
      <c r="P6" s="436"/>
      <c r="Q6" s="436"/>
      <c r="R6" s="436"/>
      <c r="S6" s="436"/>
      <c r="T6" s="436"/>
      <c r="U6" s="235"/>
      <c r="V6" s="229"/>
      <c r="W6" s="229"/>
      <c r="X6" s="229"/>
      <c r="Y6" s="229"/>
      <c r="Z6" s="229"/>
      <c r="AA6" s="229"/>
      <c r="AB6" s="229"/>
      <c r="AC6" s="229"/>
    </row>
    <row r="7" spans="1:29" ht="21" customHeight="1" x14ac:dyDescent="0.3">
      <c r="B7" s="46"/>
      <c r="C7" s="42"/>
      <c r="D7" s="272"/>
      <c r="E7" s="280"/>
      <c r="F7" s="280"/>
      <c r="G7" s="280"/>
      <c r="H7" s="280"/>
      <c r="I7" s="280"/>
      <c r="J7" s="280"/>
      <c r="K7" s="280"/>
      <c r="L7" s="280"/>
      <c r="M7" s="280"/>
      <c r="N7" s="280"/>
      <c r="O7" s="280"/>
      <c r="P7" s="280"/>
      <c r="Q7" s="280"/>
      <c r="R7" s="280"/>
      <c r="S7" s="280"/>
      <c r="T7" s="280"/>
      <c r="U7" s="235"/>
      <c r="V7" s="229"/>
      <c r="W7" s="229"/>
      <c r="X7" s="229"/>
      <c r="Y7" s="229"/>
      <c r="Z7" s="229"/>
      <c r="AA7" s="229"/>
      <c r="AB7" s="229"/>
      <c r="AC7" s="229"/>
    </row>
    <row r="8" spans="1:29" ht="37.5" customHeight="1" x14ac:dyDescent="0.3">
      <c r="B8" s="46"/>
      <c r="C8" s="55"/>
      <c r="D8" s="227"/>
      <c r="E8" s="48" t="s">
        <v>5</v>
      </c>
      <c r="F8" s="375" t="s">
        <v>498</v>
      </c>
      <c r="G8" s="375"/>
      <c r="H8" s="375"/>
      <c r="I8" s="375"/>
      <c r="J8" s="375"/>
      <c r="K8" s="144" t="s">
        <v>2</v>
      </c>
      <c r="L8" s="144"/>
      <c r="M8" s="144" t="s">
        <v>3</v>
      </c>
      <c r="N8" s="226"/>
      <c r="O8" s="144"/>
      <c r="P8" s="144"/>
      <c r="Q8" s="144"/>
      <c r="R8" s="144"/>
      <c r="S8" s="144"/>
      <c r="T8" s="49"/>
      <c r="U8" s="235"/>
      <c r="V8" s="229"/>
      <c r="W8" s="229"/>
      <c r="X8" s="229"/>
      <c r="Y8" s="229"/>
      <c r="Z8" s="229"/>
      <c r="AA8" s="229"/>
      <c r="AB8" s="229"/>
      <c r="AC8" s="229"/>
    </row>
    <row r="9" spans="1:29" ht="4.5" customHeight="1" x14ac:dyDescent="0.3">
      <c r="B9" s="46"/>
      <c r="C9" s="42"/>
      <c r="D9" s="227"/>
      <c r="E9" s="49"/>
      <c r="F9" s="49"/>
      <c r="G9" s="49"/>
      <c r="H9" s="49"/>
      <c r="I9" s="49"/>
      <c r="J9" s="49"/>
      <c r="K9" s="49"/>
      <c r="L9" s="49"/>
      <c r="M9" s="49"/>
      <c r="N9" s="226"/>
      <c r="O9" s="49"/>
      <c r="P9" s="49"/>
      <c r="Q9" s="49"/>
      <c r="R9" s="49"/>
      <c r="S9" s="49"/>
      <c r="T9" s="49"/>
      <c r="U9" s="235"/>
      <c r="V9" s="229"/>
      <c r="W9" s="229"/>
      <c r="X9" s="229"/>
      <c r="Y9" s="229"/>
      <c r="Z9" s="229"/>
      <c r="AA9" s="229"/>
      <c r="AB9" s="229"/>
      <c r="AC9" s="229"/>
    </row>
    <row r="10" spans="1:29" ht="31.05" customHeight="1" x14ac:dyDescent="0.3">
      <c r="B10" s="46"/>
      <c r="C10" s="42"/>
      <c r="D10" s="227"/>
      <c r="E10" s="49"/>
      <c r="F10" s="38" t="s">
        <v>428</v>
      </c>
      <c r="G10" s="49"/>
      <c r="H10" s="49"/>
      <c r="I10" s="49"/>
      <c r="J10" s="49"/>
      <c r="K10" s="273">
        <f>IF('Stage 4'!K43&gt;0,'Stage 4'!K43,0)</f>
        <v>0</v>
      </c>
      <c r="L10" s="269"/>
      <c r="M10" s="246" t="s">
        <v>15</v>
      </c>
      <c r="N10" s="226"/>
      <c r="O10" s="246"/>
      <c r="P10" s="246"/>
      <c r="Q10" s="246"/>
      <c r="R10" s="246"/>
      <c r="S10" s="246"/>
      <c r="T10" s="49"/>
      <c r="U10" s="235"/>
      <c r="V10" s="229"/>
      <c r="W10" s="229"/>
      <c r="X10" s="229"/>
      <c r="Y10" s="229"/>
      <c r="Z10" s="229"/>
      <c r="AA10" s="229"/>
      <c r="AB10" s="229"/>
      <c r="AC10" s="229"/>
    </row>
    <row r="11" spans="1:29" ht="23.55" customHeight="1" x14ac:dyDescent="0.3">
      <c r="B11" s="46"/>
      <c r="C11" s="42"/>
      <c r="D11" s="227"/>
      <c r="E11" s="49"/>
      <c r="F11" s="38" t="s">
        <v>427</v>
      </c>
      <c r="G11" s="49"/>
      <c r="H11" s="49"/>
      <c r="I11" s="49"/>
      <c r="J11" s="49"/>
      <c r="K11" s="273">
        <f>IF('Stage 4'!K44&gt;0,'Stage 4'!K44,0)</f>
        <v>0</v>
      </c>
      <c r="L11" s="269"/>
      <c r="M11" s="246" t="s">
        <v>15</v>
      </c>
      <c r="N11" s="226"/>
      <c r="O11" s="246"/>
      <c r="P11" s="246"/>
      <c r="Q11" s="246"/>
      <c r="R11" s="246"/>
      <c r="S11" s="246"/>
      <c r="T11" s="49"/>
      <c r="U11" s="235"/>
      <c r="V11" s="229"/>
      <c r="W11" s="229"/>
      <c r="X11" s="229"/>
      <c r="Y11" s="229"/>
      <c r="Z11" s="229"/>
      <c r="AA11" s="229"/>
      <c r="AB11" s="229"/>
      <c r="AC11" s="229"/>
    </row>
    <row r="12" spans="1:29" ht="17.55" customHeight="1" thickBot="1" x14ac:dyDescent="0.35">
      <c r="B12" s="46"/>
      <c r="C12" s="42"/>
      <c r="D12" s="227"/>
      <c r="E12" s="49"/>
      <c r="F12" s="49"/>
      <c r="G12" s="49"/>
      <c r="H12" s="49"/>
      <c r="I12" s="49"/>
      <c r="J12" s="49"/>
      <c r="K12" s="49"/>
      <c r="L12" s="49"/>
      <c r="M12" s="49"/>
      <c r="N12" s="49"/>
      <c r="O12" s="49"/>
      <c r="P12" s="49"/>
      <c r="Q12" s="49"/>
      <c r="R12" s="247"/>
      <c r="S12" s="247"/>
      <c r="T12" s="247"/>
      <c r="U12" s="235"/>
      <c r="V12" s="311"/>
      <c r="W12" s="252"/>
      <c r="X12" s="252"/>
      <c r="Y12" s="252"/>
      <c r="Z12" s="252"/>
      <c r="AA12" s="252"/>
      <c r="AB12" s="252"/>
      <c r="AC12" s="252"/>
    </row>
    <row r="13" spans="1:29" ht="7.05" customHeight="1" x14ac:dyDescent="0.3">
      <c r="B13" s="46"/>
      <c r="C13" s="42"/>
      <c r="D13" s="272"/>
      <c r="E13" s="259"/>
      <c r="F13" s="259"/>
      <c r="G13" s="259"/>
      <c r="H13" s="259"/>
      <c r="I13" s="259"/>
      <c r="J13" s="259"/>
      <c r="K13" s="259"/>
      <c r="L13" s="259"/>
      <c r="M13" s="259"/>
      <c r="N13" s="259"/>
      <c r="O13" s="259"/>
      <c r="P13" s="259"/>
      <c r="Q13" s="259"/>
      <c r="R13" s="49"/>
      <c r="S13" s="49"/>
      <c r="T13" s="49"/>
      <c r="U13" s="227"/>
      <c r="V13" s="227"/>
      <c r="W13" s="227"/>
      <c r="X13" s="227"/>
      <c r="Y13" s="227"/>
      <c r="Z13" s="227"/>
      <c r="AA13" s="227"/>
      <c r="AB13" s="227"/>
      <c r="AC13" s="312"/>
    </row>
    <row r="14" spans="1:29" ht="16.05" customHeight="1" x14ac:dyDescent="0.3">
      <c r="B14" s="46"/>
      <c r="C14" s="42"/>
      <c r="D14" s="227"/>
      <c r="E14" s="48" t="s">
        <v>8</v>
      </c>
      <c r="F14" s="375" t="s">
        <v>64</v>
      </c>
      <c r="G14" s="375"/>
      <c r="H14" s="375"/>
      <c r="I14" s="375"/>
      <c r="J14" s="375"/>
      <c r="K14" s="49"/>
      <c r="L14" s="49"/>
      <c r="M14" s="49"/>
      <c r="N14" s="49"/>
      <c r="O14" s="49"/>
      <c r="P14" s="49"/>
      <c r="Q14" s="49"/>
      <c r="R14" s="49"/>
      <c r="S14" s="49"/>
      <c r="T14" s="49"/>
      <c r="U14" s="49"/>
      <c r="V14" s="49"/>
      <c r="W14" s="49"/>
      <c r="X14" s="49"/>
      <c r="Y14" s="49"/>
      <c r="Z14" s="49"/>
      <c r="AA14" s="49"/>
      <c r="AB14" s="49"/>
      <c r="AC14" s="313"/>
    </row>
    <row r="15" spans="1:29" ht="10.5" customHeight="1" x14ac:dyDescent="0.3">
      <c r="B15" s="46"/>
      <c r="C15" s="42"/>
      <c r="D15" s="227"/>
      <c r="E15" s="49"/>
      <c r="F15" s="49"/>
      <c r="G15" s="49"/>
      <c r="H15" s="49"/>
      <c r="I15" s="49"/>
      <c r="J15" s="49"/>
      <c r="K15" s="49"/>
      <c r="L15" s="49"/>
      <c r="M15" s="49"/>
      <c r="N15" s="49"/>
      <c r="O15" s="49"/>
      <c r="P15" s="258"/>
      <c r="Q15" s="49"/>
      <c r="R15" s="49"/>
      <c r="S15" s="49"/>
      <c r="T15" s="49"/>
      <c r="U15" s="49"/>
      <c r="V15" s="49"/>
      <c r="W15" s="49"/>
      <c r="X15" s="49"/>
      <c r="Y15" s="66"/>
      <c r="Z15" s="49"/>
      <c r="AA15" s="49"/>
      <c r="AB15" s="49"/>
      <c r="AC15" s="313"/>
    </row>
    <row r="16" spans="1:29" ht="14.55" customHeight="1" x14ac:dyDescent="0.3">
      <c r="B16" s="46"/>
      <c r="C16" s="42"/>
      <c r="D16" s="227"/>
      <c r="E16" s="66" t="s">
        <v>57</v>
      </c>
      <c r="F16" s="49" t="s">
        <v>79</v>
      </c>
      <c r="G16" s="49"/>
      <c r="H16" s="49"/>
      <c r="I16" s="49"/>
      <c r="J16" s="49"/>
      <c r="K16" s="458" t="s">
        <v>61</v>
      </c>
      <c r="L16" s="458"/>
      <c r="M16" s="458"/>
      <c r="N16" s="66"/>
      <c r="O16" s="49"/>
      <c r="P16" s="258"/>
      <c r="Q16" s="49"/>
      <c r="R16" s="67" t="s">
        <v>58</v>
      </c>
      <c r="S16" s="67"/>
      <c r="T16" s="375" t="s">
        <v>80</v>
      </c>
      <c r="U16" s="375"/>
      <c r="V16" s="375"/>
      <c r="W16" s="375"/>
      <c r="X16" s="375"/>
      <c r="Y16" s="238" t="s">
        <v>61</v>
      </c>
      <c r="Z16" s="49"/>
      <c r="AA16" s="49"/>
      <c r="AB16" s="49"/>
      <c r="AC16" s="313"/>
    </row>
    <row r="17" spans="2:53" ht="14.55" customHeight="1" x14ac:dyDescent="0.3">
      <c r="B17" s="46"/>
      <c r="C17" s="42"/>
      <c r="D17" s="227"/>
      <c r="E17" s="49"/>
      <c r="F17" s="49"/>
      <c r="G17" s="49"/>
      <c r="H17" s="49"/>
      <c r="I17" s="49"/>
      <c r="J17" s="49"/>
      <c r="K17" s="49"/>
      <c r="L17" s="49"/>
      <c r="M17" s="49"/>
      <c r="N17" s="49"/>
      <c r="O17" s="49"/>
      <c r="P17" s="258"/>
      <c r="Q17" s="49"/>
      <c r="R17" s="49"/>
      <c r="S17" s="49"/>
      <c r="T17" s="49"/>
      <c r="U17" s="49"/>
      <c r="V17" s="49"/>
      <c r="W17" s="49"/>
      <c r="X17" s="49"/>
      <c r="Y17" s="49"/>
      <c r="Z17" s="49"/>
      <c r="AA17" s="49"/>
      <c r="AB17" s="49"/>
      <c r="AC17" s="313"/>
    </row>
    <row r="18" spans="2:53" ht="45" customHeight="1" x14ac:dyDescent="0.3">
      <c r="B18" s="46"/>
      <c r="C18" s="42"/>
      <c r="D18" s="227"/>
      <c r="E18" s="457" t="s">
        <v>88</v>
      </c>
      <c r="F18" s="457"/>
      <c r="G18" s="457"/>
      <c r="H18" s="457"/>
      <c r="I18" s="457"/>
      <c r="J18" s="457"/>
      <c r="K18" s="457"/>
      <c r="L18" s="457"/>
      <c r="M18" s="457"/>
      <c r="N18" s="457"/>
      <c r="O18" s="457"/>
      <c r="P18" s="258"/>
      <c r="Q18" s="49"/>
      <c r="R18" s="49"/>
      <c r="S18" s="49"/>
      <c r="T18" s="457" t="s">
        <v>85</v>
      </c>
      <c r="U18" s="457"/>
      <c r="V18" s="457"/>
      <c r="W18" s="457"/>
      <c r="X18" s="457"/>
      <c r="Y18" s="457"/>
      <c r="Z18" s="457"/>
      <c r="AA18" s="314"/>
      <c r="AB18" s="314"/>
      <c r="AC18" s="313"/>
    </row>
    <row r="19" spans="2:53" ht="14.55" customHeight="1" x14ac:dyDescent="0.3">
      <c r="B19" s="46"/>
      <c r="C19" s="42"/>
      <c r="D19" s="227"/>
      <c r="E19" s="49"/>
      <c r="F19" s="49"/>
      <c r="G19" s="49"/>
      <c r="H19" s="49"/>
      <c r="I19" s="49"/>
      <c r="J19" s="49"/>
      <c r="K19" s="49"/>
      <c r="L19" s="49"/>
      <c r="M19" s="49"/>
      <c r="N19" s="49"/>
      <c r="O19" s="49"/>
      <c r="P19" s="258"/>
      <c r="Q19" s="49"/>
      <c r="R19" s="49"/>
      <c r="S19" s="49"/>
      <c r="T19" s="375" t="s">
        <v>84</v>
      </c>
      <c r="U19" s="375"/>
      <c r="V19" s="375"/>
      <c r="W19" s="375"/>
      <c r="X19" s="375"/>
      <c r="Y19" s="375"/>
      <c r="Z19" s="375"/>
      <c r="AA19" s="49"/>
      <c r="AB19" s="49"/>
      <c r="AC19" s="313"/>
    </row>
    <row r="20" spans="2:53" ht="16.05" customHeight="1" x14ac:dyDescent="0.3">
      <c r="B20" s="46"/>
      <c r="C20" s="42"/>
      <c r="D20" s="227"/>
      <c r="E20" s="66"/>
      <c r="F20" s="375" t="s">
        <v>134</v>
      </c>
      <c r="G20" s="375"/>
      <c r="H20" s="375"/>
      <c r="I20" s="375"/>
      <c r="J20" s="375"/>
      <c r="K20" s="144" t="s">
        <v>2</v>
      </c>
      <c r="L20" s="144"/>
      <c r="M20" s="144"/>
      <c r="N20" s="66"/>
      <c r="O20" s="144" t="s">
        <v>3</v>
      </c>
      <c r="P20" s="258"/>
      <c r="Q20" s="49"/>
      <c r="R20" s="49"/>
      <c r="S20" s="49"/>
      <c r="T20" s="226"/>
      <c r="U20" s="226"/>
      <c r="V20" s="226"/>
      <c r="W20" s="226"/>
      <c r="X20" s="226"/>
      <c r="Y20" s="226"/>
      <c r="Z20" s="226"/>
      <c r="AA20" s="142"/>
      <c r="AB20" s="142"/>
      <c r="AC20" s="313"/>
    </row>
    <row r="21" spans="2:53" ht="13.5" customHeight="1" x14ac:dyDescent="0.3">
      <c r="B21" s="46"/>
      <c r="C21" s="42"/>
      <c r="D21" s="227"/>
      <c r="E21" s="49"/>
      <c r="F21" s="49"/>
      <c r="G21" s="49"/>
      <c r="H21" s="49"/>
      <c r="I21" s="49"/>
      <c r="J21" s="49"/>
      <c r="K21" s="144" t="s">
        <v>429</v>
      </c>
      <c r="L21" s="144"/>
      <c r="M21" s="144" t="s">
        <v>430</v>
      </c>
      <c r="N21" s="49"/>
      <c r="O21" s="49"/>
      <c r="P21" s="258"/>
      <c r="Q21" s="49"/>
      <c r="R21" s="49"/>
      <c r="S21" s="49"/>
      <c r="T21" s="375" t="s">
        <v>373</v>
      </c>
      <c r="U21" s="375"/>
      <c r="V21" s="375"/>
      <c r="W21" s="375"/>
      <c r="X21" s="375"/>
      <c r="Y21" s="238" t="s">
        <v>378</v>
      </c>
      <c r="Z21" s="49"/>
      <c r="AA21" s="49"/>
      <c r="AB21" s="49"/>
      <c r="AC21" s="313"/>
    </row>
    <row r="22" spans="2:53" ht="54.6" customHeight="1" x14ac:dyDescent="0.3">
      <c r="B22" s="46"/>
      <c r="C22" s="42"/>
      <c r="D22" s="227"/>
      <c r="E22" s="49"/>
      <c r="F22" s="390" t="s">
        <v>82</v>
      </c>
      <c r="G22" s="390"/>
      <c r="H22" s="390"/>
      <c r="I22" s="390"/>
      <c r="J22" s="390"/>
      <c r="K22" s="273" t="e">
        <f>'Stage 2'!K46/'Stage 2'!K41</f>
        <v>#DIV/0!</v>
      </c>
      <c r="L22" s="269"/>
      <c r="M22" s="273" t="e">
        <f>'Stage 2'!K48/'Stage 2'!K41</f>
        <v>#DIV/0!</v>
      </c>
      <c r="N22" s="238" t="s">
        <v>61</v>
      </c>
      <c r="O22" s="246" t="s">
        <v>78</v>
      </c>
      <c r="P22" s="258"/>
      <c r="Q22" s="49"/>
      <c r="R22" s="48"/>
      <c r="S22" s="48"/>
      <c r="T22" s="375" t="s">
        <v>372</v>
      </c>
      <c r="U22" s="375"/>
      <c r="V22" s="375"/>
      <c r="W22" s="375"/>
      <c r="X22" s="375"/>
      <c r="Y22" s="257" t="s">
        <v>377</v>
      </c>
      <c r="Z22" s="49"/>
      <c r="AA22" s="142"/>
      <c r="AB22" s="142"/>
      <c r="AC22" s="313"/>
    </row>
    <row r="23" spans="2:53" ht="16.05" customHeight="1" x14ac:dyDescent="0.3">
      <c r="B23" s="46"/>
      <c r="C23" s="42"/>
      <c r="D23" s="227"/>
      <c r="E23" s="49"/>
      <c r="F23" s="146"/>
      <c r="G23" s="146"/>
      <c r="H23" s="146"/>
      <c r="I23" s="146"/>
      <c r="J23" s="146"/>
      <c r="K23" s="269"/>
      <c r="L23" s="269"/>
      <c r="M23" s="269"/>
      <c r="N23" s="239"/>
      <c r="O23" s="246"/>
      <c r="P23" s="258"/>
      <c r="Q23" s="49"/>
      <c r="R23" s="48"/>
      <c r="S23" s="48"/>
      <c r="T23" s="375" t="s">
        <v>376</v>
      </c>
      <c r="U23" s="375"/>
      <c r="V23" s="375"/>
      <c r="W23" s="375"/>
      <c r="X23" s="375"/>
      <c r="Y23" s="238" t="s">
        <v>468</v>
      </c>
      <c r="Z23" s="142"/>
      <c r="AA23" s="142"/>
      <c r="AB23" s="142"/>
      <c r="AC23" s="313"/>
    </row>
    <row r="24" spans="2:53" ht="16.05" customHeight="1" x14ac:dyDescent="0.3">
      <c r="B24" s="46"/>
      <c r="C24" s="42"/>
      <c r="D24" s="227"/>
      <c r="E24" s="49"/>
      <c r="F24" s="146"/>
      <c r="G24" s="146"/>
      <c r="H24" s="146"/>
      <c r="I24" s="146"/>
      <c r="J24" s="146"/>
      <c r="K24" s="269"/>
      <c r="L24" s="269"/>
      <c r="M24" s="269"/>
      <c r="N24" s="239"/>
      <c r="O24" s="246"/>
      <c r="P24" s="258"/>
      <c r="Q24" s="49"/>
      <c r="R24" s="48"/>
      <c r="S24" s="48"/>
      <c r="T24" s="375" t="s">
        <v>374</v>
      </c>
      <c r="U24" s="375"/>
      <c r="V24" s="375"/>
      <c r="W24" s="375"/>
      <c r="X24" s="375"/>
      <c r="Y24" s="238" t="s">
        <v>13</v>
      </c>
      <c r="Z24" s="142"/>
      <c r="AA24" s="142"/>
      <c r="AB24" s="142"/>
      <c r="AC24" s="313"/>
    </row>
    <row r="25" spans="2:53" ht="20.100000000000001" customHeight="1" x14ac:dyDescent="0.3">
      <c r="B25" s="46"/>
      <c r="C25" s="42"/>
      <c r="D25" s="227"/>
      <c r="E25" s="49"/>
      <c r="F25" s="38"/>
      <c r="G25" s="49"/>
      <c r="H25" s="49"/>
      <c r="I25" s="49"/>
      <c r="J25" s="49"/>
      <c r="K25" s="269"/>
      <c r="L25" s="269"/>
      <c r="M25" s="269"/>
      <c r="N25" s="144"/>
      <c r="O25" s="246"/>
      <c r="P25" s="258"/>
      <c r="Q25" s="49"/>
      <c r="R25" s="459"/>
      <c r="S25" s="459"/>
      <c r="T25" s="459"/>
      <c r="U25" s="459"/>
      <c r="V25" s="459"/>
      <c r="W25" s="459"/>
      <c r="X25" s="459"/>
      <c r="Y25" s="459"/>
      <c r="Z25" s="459"/>
      <c r="AA25" s="459"/>
      <c r="AB25" s="459"/>
      <c r="AC25" s="460"/>
    </row>
    <row r="26" spans="2:53" ht="24" customHeight="1" x14ac:dyDescent="0.3">
      <c r="B26" s="46"/>
      <c r="C26" s="42"/>
      <c r="D26" s="227"/>
      <c r="E26" s="49"/>
      <c r="F26" s="390" t="s">
        <v>81</v>
      </c>
      <c r="G26" s="390"/>
      <c r="H26" s="390"/>
      <c r="I26" s="390"/>
      <c r="J26" s="390"/>
      <c r="K26" s="144" t="s">
        <v>429</v>
      </c>
      <c r="L26" s="144"/>
      <c r="M26" s="144" t="s">
        <v>430</v>
      </c>
      <c r="N26" s="49"/>
      <c r="O26" s="246"/>
      <c r="P26" s="258"/>
      <c r="Q26" s="49"/>
      <c r="R26" s="49"/>
      <c r="S26" s="49"/>
      <c r="T26" s="390" t="s">
        <v>83</v>
      </c>
      <c r="U26" s="390"/>
      <c r="V26" s="390"/>
      <c r="W26" s="390"/>
      <c r="X26" s="390"/>
      <c r="Y26" s="49"/>
      <c r="Z26" s="49"/>
      <c r="AA26" s="281" t="s">
        <v>389</v>
      </c>
      <c r="AB26" s="281" t="s">
        <v>390</v>
      </c>
      <c r="AC26" s="313"/>
      <c r="AP26" s="114"/>
    </row>
    <row r="27" spans="2:53" ht="16.05" customHeight="1" x14ac:dyDescent="0.3">
      <c r="B27" s="46"/>
      <c r="C27" s="42"/>
      <c r="D27" s="227"/>
      <c r="E27" s="440" t="str">
        <f>'Stage 2'!F22</f>
        <v>High density residential</v>
      </c>
      <c r="F27" s="440"/>
      <c r="G27" s="440"/>
      <c r="H27" s="440"/>
      <c r="I27" s="440"/>
      <c r="J27" s="49"/>
      <c r="K27" s="315" t="str">
        <f>IF('Stage 2'!$K22&gt;0,'Stage 2'!O22/'Stage 2'!$K22,"")</f>
        <v/>
      </c>
      <c r="L27" s="269"/>
      <c r="M27" s="273" t="str">
        <f>IF('Stage 2'!$K22&gt;0,'Stage 2'!Q22/'Stage 2'!$K22,"")</f>
        <v/>
      </c>
      <c r="N27" s="238" t="s">
        <v>61</v>
      </c>
      <c r="O27" s="240" t="s">
        <v>78</v>
      </c>
      <c r="P27" s="258"/>
      <c r="Q27" s="49"/>
      <c r="R27" s="49"/>
      <c r="S27" s="49"/>
      <c r="T27" s="440" t="str">
        <f t="shared" ref="T27:T44" si="0">E27</f>
        <v>High density residential</v>
      </c>
      <c r="U27" s="440"/>
      <c r="V27" s="440"/>
      <c r="W27" s="440"/>
      <c r="X27" s="440"/>
      <c r="Y27" s="238" t="s">
        <v>61</v>
      </c>
      <c r="Z27" s="49"/>
      <c r="AA27" s="283"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283"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13"/>
      <c r="AO27" s="114"/>
      <c r="AQ27" s="114"/>
    </row>
    <row r="28" spans="2:53" ht="16.05" customHeight="1" x14ac:dyDescent="0.3">
      <c r="B28" s="46"/>
      <c r="C28" s="42"/>
      <c r="D28" s="227"/>
      <c r="E28" s="440" t="str">
        <f>'Stage 2'!F23</f>
        <v>Medium density residential</v>
      </c>
      <c r="F28" s="440"/>
      <c r="G28" s="440"/>
      <c r="H28" s="440"/>
      <c r="I28" s="440"/>
      <c r="J28" s="49"/>
      <c r="K28" s="315" t="str">
        <f>IF('Stage 2'!$K23&gt;0,'Stage 2'!O23/'Stage 2'!$K23,"")</f>
        <v/>
      </c>
      <c r="L28" s="269"/>
      <c r="M28" s="273" t="str">
        <f>IF('Stage 2'!$K23&gt;0,'Stage 2'!Q23/'Stage 2'!$K23,"")</f>
        <v/>
      </c>
      <c r="N28" s="238" t="s">
        <v>61</v>
      </c>
      <c r="O28" s="240" t="s">
        <v>78</v>
      </c>
      <c r="P28" s="258"/>
      <c r="Q28" s="49"/>
      <c r="R28" s="49"/>
      <c r="S28" s="49"/>
      <c r="T28" s="440" t="str">
        <f t="shared" si="0"/>
        <v>Medium density residential</v>
      </c>
      <c r="U28" s="440"/>
      <c r="V28" s="440"/>
      <c r="W28" s="440"/>
      <c r="X28" s="440"/>
      <c r="Y28" s="238" t="s">
        <v>61</v>
      </c>
      <c r="Z28" s="49"/>
      <c r="AA28" s="283"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283"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13"/>
    </row>
    <row r="29" spans="2:53" ht="16.05" customHeight="1" x14ac:dyDescent="0.3">
      <c r="B29" s="46"/>
      <c r="C29" s="42"/>
      <c r="D29" s="227"/>
      <c r="E29" s="440" t="str">
        <f>'Stage 2'!F24</f>
        <v>Low density residential</v>
      </c>
      <c r="F29" s="440"/>
      <c r="G29" s="440"/>
      <c r="H29" s="440"/>
      <c r="I29" s="440"/>
      <c r="J29" s="49"/>
      <c r="K29" s="315" t="str">
        <f>IF('Stage 2'!$K24&gt;0,'Stage 2'!O24/'Stage 2'!$K24,"")</f>
        <v/>
      </c>
      <c r="L29" s="269"/>
      <c r="M29" s="273" t="str">
        <f>IF('Stage 2'!$K24&gt;0,'Stage 2'!Q24/'Stage 2'!$K24,"")</f>
        <v/>
      </c>
      <c r="N29" s="238" t="s">
        <v>61</v>
      </c>
      <c r="O29" s="240" t="s">
        <v>78</v>
      </c>
      <c r="P29" s="258"/>
      <c r="Q29" s="49"/>
      <c r="R29" s="49"/>
      <c r="S29" s="49"/>
      <c r="T29" s="440" t="str">
        <f t="shared" si="0"/>
        <v>Low density residential</v>
      </c>
      <c r="U29" s="440"/>
      <c r="V29" s="440"/>
      <c r="W29" s="440"/>
      <c r="X29" s="440"/>
      <c r="Y29" s="238" t="s">
        <v>61</v>
      </c>
      <c r="Z29" s="49"/>
      <c r="AA29" s="283"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283"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13"/>
    </row>
    <row r="30" spans="2:53" ht="16.05" customHeight="1" x14ac:dyDescent="0.3">
      <c r="B30" s="46"/>
      <c r="C30" s="42"/>
      <c r="D30" s="227"/>
      <c r="E30" s="440" t="str">
        <f>'Stage 2'!F25</f>
        <v>Commercial / Industrial</v>
      </c>
      <c r="F30" s="440"/>
      <c r="G30" s="440"/>
      <c r="H30" s="440"/>
      <c r="I30" s="440"/>
      <c r="J30" s="49"/>
      <c r="K30" s="315" t="str">
        <f>IF('Stage 2'!$K25&gt;0,'Stage 2'!O25/'Stage 2'!$K25,"")</f>
        <v/>
      </c>
      <c r="L30" s="269"/>
      <c r="M30" s="273" t="str">
        <f>IF('Stage 2'!$K25&gt;0,'Stage 2'!Q25/'Stage 2'!$K25,"")</f>
        <v/>
      </c>
      <c r="N30" s="238" t="s">
        <v>61</v>
      </c>
      <c r="O30" s="240" t="s">
        <v>78</v>
      </c>
      <c r="P30" s="258"/>
      <c r="Q30" s="49"/>
      <c r="R30" s="49"/>
      <c r="S30" s="49"/>
      <c r="T30" s="440" t="str">
        <f t="shared" si="0"/>
        <v>Commercial / Industrial</v>
      </c>
      <c r="U30" s="440"/>
      <c r="V30" s="440"/>
      <c r="W30" s="440"/>
      <c r="X30" s="440"/>
      <c r="Y30" s="238" t="s">
        <v>61</v>
      </c>
      <c r="Z30" s="49"/>
      <c r="AA30" s="283"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283"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13"/>
    </row>
    <row r="31" spans="2:53" ht="16.05" customHeight="1" x14ac:dyDescent="0.3">
      <c r="B31" s="46"/>
      <c r="C31" s="42"/>
      <c r="D31" s="227"/>
      <c r="E31" s="440" t="str">
        <f>'Stage 2'!F26</f>
        <v>Urban open space</v>
      </c>
      <c r="F31" s="440"/>
      <c r="G31" s="440"/>
      <c r="H31" s="440"/>
      <c r="I31" s="440"/>
      <c r="J31" s="49"/>
      <c r="K31" s="315" t="str">
        <f>IF('Stage 2'!$K26&gt;0,'Stage 2'!O26/'Stage 2'!$K26,"")</f>
        <v/>
      </c>
      <c r="L31" s="269"/>
      <c r="M31" s="273" t="str">
        <f>IF('Stage 2'!$K26&gt;0,'Stage 2'!Q26/'Stage 2'!$K26,"")</f>
        <v/>
      </c>
      <c r="N31" s="238" t="s">
        <v>61</v>
      </c>
      <c r="O31" s="240" t="s">
        <v>78</v>
      </c>
      <c r="P31" s="258"/>
      <c r="Q31" s="49"/>
      <c r="R31" s="49"/>
      <c r="S31" s="49"/>
      <c r="T31" s="440" t="str">
        <f t="shared" si="0"/>
        <v>Urban open space</v>
      </c>
      <c r="U31" s="440"/>
      <c r="V31" s="440"/>
      <c r="W31" s="440"/>
      <c r="X31" s="440"/>
      <c r="Y31" s="238" t="s">
        <v>61</v>
      </c>
      <c r="Z31" s="49"/>
      <c r="AA31" s="283"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283"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13"/>
    </row>
    <row r="32" spans="2:53" ht="16.05" customHeight="1" x14ac:dyDescent="0.3">
      <c r="B32" s="46"/>
      <c r="C32" s="42"/>
      <c r="D32" s="227"/>
      <c r="E32" s="440" t="str">
        <f>'Stage 2'!F27</f>
        <v>Dairy</v>
      </c>
      <c r="F32" s="440"/>
      <c r="G32" s="440"/>
      <c r="H32" s="440"/>
      <c r="I32" s="440"/>
      <c r="J32" s="49"/>
      <c r="K32" s="315" t="str">
        <f>IF('Stage 2'!$K27&gt;0,'Stage 2'!O27/'Stage 2'!$K27,"")</f>
        <v/>
      </c>
      <c r="L32" s="281"/>
      <c r="M32" s="273" t="str">
        <f>IF('Stage 2'!$K27&gt;0,'Stage 2'!Q27/'Stage 2'!$K27,"")</f>
        <v/>
      </c>
      <c r="N32" s="238" t="s">
        <v>61</v>
      </c>
      <c r="O32" s="240" t="s">
        <v>78</v>
      </c>
      <c r="P32" s="258"/>
      <c r="Q32" s="49"/>
      <c r="R32" s="49"/>
      <c r="S32" s="49"/>
      <c r="T32" s="440" t="str">
        <f t="shared" si="0"/>
        <v>Dairy</v>
      </c>
      <c r="U32" s="440"/>
      <c r="V32" s="440"/>
      <c r="W32" s="440"/>
      <c r="X32" s="440"/>
      <c r="Y32" s="238" t="s">
        <v>13</v>
      </c>
      <c r="Z32" s="49"/>
      <c r="AA32" s="285"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285"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13"/>
      <c r="AF32" s="94"/>
      <c r="AG32" s="94"/>
      <c r="AH32" s="94"/>
      <c r="AI32" s="94"/>
      <c r="AJ32" s="94"/>
      <c r="AK32" s="94"/>
      <c r="AL32" s="94"/>
      <c r="AM32" s="94"/>
      <c r="AN32" s="94"/>
      <c r="AO32" s="94"/>
      <c r="AP32" s="94"/>
      <c r="AQ32" s="94"/>
      <c r="AR32" s="94"/>
      <c r="AT32" s="94"/>
      <c r="AU32" s="94"/>
      <c r="AV32" s="94"/>
      <c r="AW32" s="94"/>
      <c r="AX32" s="94"/>
      <c r="AY32" s="94"/>
      <c r="AZ32" s="94"/>
      <c r="BA32" s="94"/>
    </row>
    <row r="33" spans="2:53" ht="16.05" customHeight="1" x14ac:dyDescent="0.3">
      <c r="B33" s="46"/>
      <c r="C33" s="42"/>
      <c r="D33" s="227"/>
      <c r="E33" s="440" t="str">
        <f>'Stage 2'!F28</f>
        <v>Lowland grazing</v>
      </c>
      <c r="F33" s="440"/>
      <c r="G33" s="440"/>
      <c r="H33" s="440"/>
      <c r="I33" s="440"/>
      <c r="J33" s="49"/>
      <c r="K33" s="315" t="str">
        <f>IF('Stage 2'!$K28&gt;0,'Stage 2'!O28/'Stage 2'!$K28,"")</f>
        <v/>
      </c>
      <c r="L33" s="230"/>
      <c r="M33" s="273" t="str">
        <f>IF('Stage 2'!$K28&gt;0,'Stage 2'!Q28/'Stage 2'!$K28,"")</f>
        <v/>
      </c>
      <c r="N33" s="238" t="s">
        <v>61</v>
      </c>
      <c r="O33" s="240" t="s">
        <v>78</v>
      </c>
      <c r="P33" s="258"/>
      <c r="Q33" s="49"/>
      <c r="R33" s="49"/>
      <c r="S33" s="49"/>
      <c r="T33" s="440" t="str">
        <f t="shared" si="0"/>
        <v>Lowland grazing</v>
      </c>
      <c r="U33" s="440"/>
      <c r="V33" s="440"/>
      <c r="W33" s="440"/>
      <c r="X33" s="440"/>
      <c r="Y33" s="238" t="s">
        <v>61</v>
      </c>
      <c r="Z33" s="49"/>
      <c r="AA33" s="285"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285"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13"/>
      <c r="AF33" s="94"/>
      <c r="AG33" s="94"/>
      <c r="AH33" s="94"/>
      <c r="AI33" s="94"/>
      <c r="AJ33" s="94"/>
      <c r="AK33" s="94"/>
      <c r="AL33" s="94"/>
      <c r="AM33" s="94"/>
      <c r="AN33" s="94"/>
      <c r="AO33" s="94"/>
      <c r="AP33" s="94"/>
      <c r="AQ33" s="94"/>
      <c r="AR33" s="94"/>
      <c r="AT33" s="94"/>
      <c r="AU33" s="94"/>
      <c r="AV33" s="94"/>
      <c r="AW33" s="94"/>
      <c r="AX33" s="94"/>
      <c r="AY33" s="94"/>
      <c r="AZ33" s="94"/>
      <c r="BA33" s="94"/>
    </row>
    <row r="34" spans="2:53" ht="16.05" customHeight="1" x14ac:dyDescent="0.3">
      <c r="B34" s="46"/>
      <c r="C34" s="42"/>
      <c r="D34" s="227"/>
      <c r="E34" s="440" t="str">
        <f>'Stage 2'!F29</f>
        <v>Mixed</v>
      </c>
      <c r="F34" s="440"/>
      <c r="G34" s="440"/>
      <c r="H34" s="440"/>
      <c r="I34" s="440"/>
      <c r="J34" s="49"/>
      <c r="K34" s="315" t="str">
        <f>IF('Stage 2'!$K29&gt;0,'Stage 2'!O29/'Stage 2'!$K29,"")</f>
        <v/>
      </c>
      <c r="L34" s="230"/>
      <c r="M34" s="273" t="str">
        <f>IF('Stage 2'!$K29&gt;0,'Stage 2'!Q29/'Stage 2'!$K29,"")</f>
        <v/>
      </c>
      <c r="N34" s="238" t="s">
        <v>61</v>
      </c>
      <c r="O34" s="240" t="s">
        <v>78</v>
      </c>
      <c r="P34" s="258"/>
      <c r="Q34" s="49"/>
      <c r="R34" s="49"/>
      <c r="S34" s="49"/>
      <c r="T34" s="440" t="str">
        <f t="shared" si="0"/>
        <v>Mixed</v>
      </c>
      <c r="U34" s="440"/>
      <c r="V34" s="440"/>
      <c r="W34" s="440"/>
      <c r="X34" s="440"/>
      <c r="Y34" s="238" t="s">
        <v>61</v>
      </c>
      <c r="Z34" s="49"/>
      <c r="AA34" s="285"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285"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13"/>
      <c r="AF34" s="94"/>
      <c r="AG34" s="94"/>
      <c r="AH34" s="94"/>
      <c r="AI34" s="94"/>
      <c r="AJ34" s="94"/>
      <c r="AK34" s="94"/>
      <c r="AL34" s="94"/>
      <c r="AM34" s="94"/>
      <c r="AN34" s="94"/>
      <c r="AO34" s="94"/>
      <c r="AP34" s="94"/>
      <c r="AQ34" s="94"/>
      <c r="AR34" s="94"/>
      <c r="AT34" s="94"/>
      <c r="AU34" s="94"/>
      <c r="AV34" s="94"/>
      <c r="AW34" s="94"/>
      <c r="AX34" s="94"/>
      <c r="AY34" s="94"/>
      <c r="AZ34" s="94"/>
      <c r="BA34" s="94"/>
    </row>
    <row r="35" spans="2:53" ht="16.05" customHeight="1" x14ac:dyDescent="0.3">
      <c r="B35" s="46"/>
      <c r="C35" s="42"/>
      <c r="D35" s="227"/>
      <c r="E35" s="440" t="str">
        <f>'Stage 2'!F30</f>
        <v>Poultry</v>
      </c>
      <c r="F35" s="440"/>
      <c r="G35" s="440"/>
      <c r="H35" s="440"/>
      <c r="I35" s="440"/>
      <c r="J35" s="49"/>
      <c r="K35" s="315" t="str">
        <f>IF('Stage 2'!$K30&gt;0,'Stage 2'!O30/'Stage 2'!$K30,"")</f>
        <v/>
      </c>
      <c r="L35" s="230"/>
      <c r="M35" s="273" t="str">
        <f>IF('Stage 2'!$K30&gt;0,'Stage 2'!Q30/'Stage 2'!$K30,"")</f>
        <v/>
      </c>
      <c r="N35" s="238" t="s">
        <v>61</v>
      </c>
      <c r="O35" s="240" t="s">
        <v>78</v>
      </c>
      <c r="P35" s="258"/>
      <c r="Q35" s="49"/>
      <c r="R35" s="49"/>
      <c r="S35" s="49"/>
      <c r="T35" s="440" t="str">
        <f t="shared" si="0"/>
        <v>Poultry</v>
      </c>
      <c r="U35" s="440"/>
      <c r="V35" s="440"/>
      <c r="W35" s="440"/>
      <c r="X35" s="440"/>
      <c r="Y35" s="238" t="s">
        <v>61</v>
      </c>
      <c r="Z35" s="49"/>
      <c r="AA35" s="285"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285"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13"/>
      <c r="AF35" s="94"/>
      <c r="AG35" s="94"/>
      <c r="AH35" s="94"/>
      <c r="AI35" s="94"/>
      <c r="AJ35" s="94"/>
      <c r="AK35" s="94"/>
      <c r="AL35" s="94"/>
      <c r="AM35" s="94"/>
      <c r="AN35" s="94"/>
      <c r="AO35" s="94"/>
      <c r="AP35" s="94"/>
      <c r="AQ35" s="94"/>
      <c r="AR35" s="94"/>
      <c r="AT35" s="94"/>
      <c r="AU35" s="94"/>
      <c r="AV35" s="94"/>
      <c r="AW35" s="94"/>
      <c r="AX35" s="94"/>
      <c r="AY35" s="94"/>
      <c r="AZ35" s="94"/>
      <c r="BA35" s="94"/>
    </row>
    <row r="36" spans="2:53" ht="16.05" customHeight="1" x14ac:dyDescent="0.3">
      <c r="B36" s="46"/>
      <c r="C36" s="42"/>
      <c r="D36" s="227"/>
      <c r="E36" s="440" t="str">
        <f>'Stage 2'!F31</f>
        <v>Pigs</v>
      </c>
      <c r="F36" s="440"/>
      <c r="G36" s="440"/>
      <c r="H36" s="440"/>
      <c r="I36" s="440"/>
      <c r="J36" s="49"/>
      <c r="K36" s="315" t="str">
        <f>IF('Stage 2'!$K31&gt;0,'Stage 2'!O31/'Stage 2'!$K31,"")</f>
        <v/>
      </c>
      <c r="L36" s="230"/>
      <c r="M36" s="273" t="str">
        <f>IF('Stage 2'!$K31&gt;0,'Stage 2'!Q31/'Stage 2'!$K31,"")</f>
        <v/>
      </c>
      <c r="N36" s="238" t="s">
        <v>61</v>
      </c>
      <c r="O36" s="240" t="s">
        <v>78</v>
      </c>
      <c r="P36" s="258"/>
      <c r="Q36" s="49"/>
      <c r="R36" s="49"/>
      <c r="S36" s="49"/>
      <c r="T36" s="440" t="str">
        <f t="shared" si="0"/>
        <v>Pigs</v>
      </c>
      <c r="U36" s="440"/>
      <c r="V36" s="440"/>
      <c r="W36" s="440"/>
      <c r="X36" s="440"/>
      <c r="Y36" s="238" t="s">
        <v>61</v>
      </c>
      <c r="Z36" s="49"/>
      <c r="AA36" s="285"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285"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13"/>
      <c r="AF36" s="94"/>
      <c r="AG36" s="94"/>
      <c r="AH36" s="94"/>
      <c r="AI36" s="94"/>
      <c r="AJ36" s="94"/>
      <c r="AK36" s="94"/>
      <c r="AL36" s="94"/>
      <c r="AM36" s="94"/>
      <c r="AN36" s="94"/>
      <c r="AO36" s="94"/>
      <c r="AP36" s="94"/>
      <c r="AQ36" s="94"/>
      <c r="AR36" s="94"/>
      <c r="AT36" s="94"/>
      <c r="AU36" s="94"/>
      <c r="AV36" s="94"/>
      <c r="AW36" s="94"/>
      <c r="AX36" s="94"/>
      <c r="AY36" s="94"/>
      <c r="AZ36" s="94"/>
      <c r="BA36" s="94"/>
    </row>
    <row r="37" spans="2:53" ht="16.05" customHeight="1" x14ac:dyDescent="0.3">
      <c r="B37" s="46"/>
      <c r="C37" s="42"/>
      <c r="D37" s="227"/>
      <c r="E37" s="440" t="str">
        <f>'Stage 2'!F32</f>
        <v>Horticulture</v>
      </c>
      <c r="F37" s="440"/>
      <c r="G37" s="440"/>
      <c r="H37" s="440"/>
      <c r="I37" s="440"/>
      <c r="J37" s="49"/>
      <c r="K37" s="315" t="str">
        <f>IF('Stage 2'!$K32&gt;0,'Stage 2'!O32/'Stage 2'!$K32,"")</f>
        <v/>
      </c>
      <c r="L37" s="230"/>
      <c r="M37" s="273" t="str">
        <f>IF('Stage 2'!$K32&gt;0,'Stage 2'!Q32/'Stage 2'!$K32,"")</f>
        <v/>
      </c>
      <c r="N37" s="238" t="s">
        <v>61</v>
      </c>
      <c r="O37" s="240" t="s">
        <v>78</v>
      </c>
      <c r="P37" s="258"/>
      <c r="Q37" s="49"/>
      <c r="R37" s="49"/>
      <c r="S37" s="49"/>
      <c r="T37" s="440" t="str">
        <f t="shared" si="0"/>
        <v>Horticulture</v>
      </c>
      <c r="U37" s="440"/>
      <c r="V37" s="440"/>
      <c r="W37" s="440"/>
      <c r="X37" s="440"/>
      <c r="Y37" s="238" t="s">
        <v>61</v>
      </c>
      <c r="Z37" s="49"/>
      <c r="AA37" s="285"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285"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13"/>
      <c r="AF37" s="94"/>
      <c r="AG37" s="94"/>
      <c r="AH37" s="94"/>
      <c r="AI37" s="94"/>
      <c r="AJ37" s="94"/>
      <c r="AK37" s="94"/>
      <c r="AL37" s="94"/>
      <c r="AM37" s="94"/>
      <c r="AN37" s="94"/>
      <c r="AO37" s="94"/>
      <c r="AP37" s="94"/>
      <c r="AQ37" s="94"/>
      <c r="AR37" s="94"/>
      <c r="AT37" s="94"/>
      <c r="AU37" s="94"/>
      <c r="AV37" s="94"/>
      <c r="AW37" s="94"/>
      <c r="AX37" s="94"/>
      <c r="AY37" s="94"/>
      <c r="AZ37" s="94"/>
      <c r="BA37" s="94"/>
    </row>
    <row r="38" spans="2:53" ht="16.05" customHeight="1" x14ac:dyDescent="0.3">
      <c r="B38" s="46"/>
      <c r="C38" s="42"/>
      <c r="D38" s="227"/>
      <c r="E38" s="440" t="str">
        <f>'Stage 2'!F33</f>
        <v>Cereals</v>
      </c>
      <c r="F38" s="440"/>
      <c r="G38" s="440"/>
      <c r="H38" s="440"/>
      <c r="I38" s="440"/>
      <c r="J38" s="49"/>
      <c r="K38" s="315" t="str">
        <f>IF('Stage 2'!$K33&gt;0,'Stage 2'!O33/'Stage 2'!$K33,"")</f>
        <v/>
      </c>
      <c r="L38" s="230"/>
      <c r="M38" s="273" t="str">
        <f>IF('Stage 2'!$K33&gt;0,'Stage 2'!Q33/'Stage 2'!$K33,"")</f>
        <v/>
      </c>
      <c r="N38" s="238" t="s">
        <v>61</v>
      </c>
      <c r="O38" s="240" t="s">
        <v>78</v>
      </c>
      <c r="P38" s="258"/>
      <c r="Q38" s="49"/>
      <c r="R38" s="49"/>
      <c r="S38" s="49"/>
      <c r="T38" s="440" t="str">
        <f t="shared" si="0"/>
        <v>Cereals</v>
      </c>
      <c r="U38" s="440"/>
      <c r="V38" s="440"/>
      <c r="W38" s="440"/>
      <c r="X38" s="440"/>
      <c r="Y38" s="238" t="s">
        <v>61</v>
      </c>
      <c r="Z38" s="49"/>
      <c r="AA38" s="285"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285"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13"/>
      <c r="AF38" s="94"/>
      <c r="AG38" s="94"/>
      <c r="AH38" s="94"/>
      <c r="AI38" s="94"/>
      <c r="AJ38" s="94"/>
      <c r="AK38" s="94"/>
      <c r="AL38" s="94"/>
      <c r="AM38" s="94"/>
      <c r="AN38" s="94"/>
      <c r="AO38" s="94"/>
      <c r="AP38" s="94"/>
      <c r="AQ38" s="94"/>
      <c r="AR38" s="94"/>
      <c r="AT38" s="94"/>
      <c r="AU38" s="94"/>
      <c r="AV38" s="94"/>
      <c r="AW38" s="94"/>
      <c r="AX38" s="94"/>
      <c r="AY38" s="94"/>
      <c r="AZ38" s="94"/>
      <c r="BA38" s="94"/>
    </row>
    <row r="39" spans="2:53" ht="16.05" customHeight="1" x14ac:dyDescent="0.3">
      <c r="B39" s="46"/>
      <c r="C39" s="42"/>
      <c r="D39" s="227"/>
      <c r="E39" s="440" t="str">
        <f>'Stage 2'!F34</f>
        <v>General arable</v>
      </c>
      <c r="F39" s="440"/>
      <c r="G39" s="440"/>
      <c r="H39" s="440"/>
      <c r="I39" s="440"/>
      <c r="J39" s="49"/>
      <c r="K39" s="315" t="str">
        <f>IF('Stage 2'!$K34&gt;0,'Stage 2'!O34/'Stage 2'!$K34,"")</f>
        <v/>
      </c>
      <c r="L39" s="230"/>
      <c r="M39" s="273" t="str">
        <f>IF('Stage 2'!$K34&gt;0,'Stage 2'!Q34/'Stage 2'!$K34,"")</f>
        <v/>
      </c>
      <c r="N39" s="238" t="s">
        <v>61</v>
      </c>
      <c r="O39" s="240" t="s">
        <v>78</v>
      </c>
      <c r="P39" s="258"/>
      <c r="Q39" s="49"/>
      <c r="R39" s="49"/>
      <c r="S39" s="49"/>
      <c r="T39" s="440" t="str">
        <f t="shared" si="0"/>
        <v>General arable</v>
      </c>
      <c r="U39" s="440"/>
      <c r="V39" s="440"/>
      <c r="W39" s="440"/>
      <c r="X39" s="440"/>
      <c r="Y39" s="238" t="s">
        <v>61</v>
      </c>
      <c r="Z39" s="49"/>
      <c r="AA39" s="285"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285"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13"/>
      <c r="AF39" s="353"/>
      <c r="AG39" s="94"/>
      <c r="AH39" s="94"/>
      <c r="AI39" s="94"/>
      <c r="AJ39" s="94"/>
      <c r="AK39" s="94"/>
      <c r="AL39" s="94"/>
      <c r="AM39" s="94"/>
      <c r="AN39" s="94"/>
      <c r="AO39" s="94"/>
      <c r="AP39" s="94"/>
      <c r="AQ39" s="94"/>
      <c r="AR39" s="94"/>
      <c r="AT39" s="94"/>
      <c r="AU39" s="94"/>
      <c r="AV39" s="94"/>
      <c r="AW39" s="94"/>
      <c r="AX39" s="94"/>
      <c r="AY39" s="94"/>
      <c r="AZ39" s="94"/>
      <c r="BA39" s="94"/>
    </row>
    <row r="40" spans="2:53" ht="16.05" customHeight="1" x14ac:dyDescent="0.3">
      <c r="B40" s="46"/>
      <c r="C40" s="42"/>
      <c r="D40" s="227"/>
      <c r="E40" s="440" t="str">
        <f>'Stage 2'!F35</f>
        <v>Allotments and city farms</v>
      </c>
      <c r="F40" s="440"/>
      <c r="G40" s="440"/>
      <c r="H40" s="440"/>
      <c r="I40" s="440"/>
      <c r="J40" s="49"/>
      <c r="K40" s="290" t="str">
        <f>IF('Stage 2'!K35&gt;0,'Data Tables'!O3,"")</f>
        <v/>
      </c>
      <c r="L40" s="269"/>
      <c r="M40" s="273"/>
      <c r="N40" s="238" t="s">
        <v>61</v>
      </c>
      <c r="O40" s="240" t="s">
        <v>78</v>
      </c>
      <c r="P40" s="258"/>
      <c r="Q40" s="49"/>
      <c r="R40" s="49"/>
      <c r="S40" s="49"/>
      <c r="T40" s="440" t="str">
        <f t="shared" si="0"/>
        <v>Allotments and city farms</v>
      </c>
      <c r="U40" s="440"/>
      <c r="V40" s="440"/>
      <c r="W40" s="440"/>
      <c r="X40" s="440"/>
      <c r="Y40" s="238" t="s">
        <v>61</v>
      </c>
      <c r="Z40" s="49"/>
      <c r="AA40" s="285"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285"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13"/>
    </row>
    <row r="41" spans="2:53" ht="16.05" customHeight="1" x14ac:dyDescent="0.3">
      <c r="B41" s="46"/>
      <c r="C41" s="42"/>
      <c r="D41" s="227"/>
      <c r="E41" s="440" t="str">
        <f>'Stage 2'!F36</f>
        <v>Woodland (e.g. conifer, mixed, broad-leaved)</v>
      </c>
      <c r="F41" s="440"/>
      <c r="G41" s="440"/>
      <c r="H41" s="440"/>
      <c r="I41" s="440"/>
      <c r="J41" s="49"/>
      <c r="K41" s="290" t="str">
        <f>IF('Stage 2'!K36&gt;0,'Data Tables'!O5,"")</f>
        <v/>
      </c>
      <c r="L41" s="269"/>
      <c r="M41" s="273"/>
      <c r="N41" s="238" t="s">
        <v>61</v>
      </c>
      <c r="O41" s="240" t="s">
        <v>78</v>
      </c>
      <c r="P41" s="258"/>
      <c r="Q41" s="49"/>
      <c r="R41" s="49"/>
      <c r="S41" s="49"/>
      <c r="T41" s="440" t="str">
        <f t="shared" si="0"/>
        <v>Woodland (e.g. conifer, mixed, broad-leaved)</v>
      </c>
      <c r="U41" s="440"/>
      <c r="V41" s="440"/>
      <c r="W41" s="440"/>
      <c r="X41" s="440"/>
      <c r="Y41" s="238" t="s">
        <v>61</v>
      </c>
      <c r="Z41" s="49"/>
      <c r="AA41" s="285" t="str">
        <f>IF($Y$16="Yes",(IF(Y41="Yes",'Data Tables'!O5,0)),"")</f>
        <v/>
      </c>
      <c r="AB41" s="285" t="str">
        <f>IF($Y$16="Yes",(IF(Z41="Yes",'Data Tables'!P5,0)),"")</f>
        <v/>
      </c>
      <c r="AC41" s="313"/>
    </row>
    <row r="42" spans="2:53" ht="16.05" customHeight="1" x14ac:dyDescent="0.3">
      <c r="B42" s="46"/>
      <c r="C42" s="42"/>
      <c r="D42" s="227"/>
      <c r="E42" s="440" t="str">
        <f>'Stage 2'!F37</f>
        <v>Greenspace</v>
      </c>
      <c r="F42" s="440"/>
      <c r="G42" s="440"/>
      <c r="H42" s="440"/>
      <c r="I42" s="440"/>
      <c r="J42" s="49"/>
      <c r="K42" s="290" t="str">
        <f>IF('Stage 2'!K37&gt;0,'Data Tables'!O4,"")</f>
        <v/>
      </c>
      <c r="L42" s="269"/>
      <c r="M42" s="273"/>
      <c r="N42" s="238" t="s">
        <v>61</v>
      </c>
      <c r="O42" s="240" t="s">
        <v>78</v>
      </c>
      <c r="P42" s="258"/>
      <c r="Q42" s="49"/>
      <c r="R42" s="49"/>
      <c r="S42" s="49"/>
      <c r="T42" s="440" t="str">
        <f t="shared" si="0"/>
        <v>Greenspace</v>
      </c>
      <c r="U42" s="440"/>
      <c r="V42" s="440"/>
      <c r="W42" s="440"/>
      <c r="X42" s="440"/>
      <c r="Y42" s="238" t="s">
        <v>61</v>
      </c>
      <c r="Z42" s="49"/>
      <c r="AA42" s="285" t="str">
        <f>IF($Y$16="Yes",(IF(Y42="Yes",'Data Tables'!O4,0)),"")</f>
        <v/>
      </c>
      <c r="AB42" s="285" t="str">
        <f>IF($Y$16="Yes",(IF(Z42="Yes",'Data Tables'!P4,0)),"")</f>
        <v/>
      </c>
      <c r="AC42" s="313"/>
    </row>
    <row r="43" spans="2:53" ht="16.05" customHeight="1" x14ac:dyDescent="0.3">
      <c r="B43" s="46"/>
      <c r="C43" s="42"/>
      <c r="D43" s="227"/>
      <c r="E43" s="440" t="str">
        <f>'Stage 2'!F38</f>
        <v>Shrub / heathland / bracken / bog</v>
      </c>
      <c r="F43" s="440"/>
      <c r="G43" s="440"/>
      <c r="H43" s="440"/>
      <c r="I43" s="440"/>
      <c r="J43" s="49"/>
      <c r="K43" s="290" t="str">
        <f>IF('Stage 2'!K38&gt;0,'Data Tables'!O6,"")</f>
        <v/>
      </c>
      <c r="L43" s="269"/>
      <c r="M43" s="273"/>
      <c r="N43" s="238" t="s">
        <v>61</v>
      </c>
      <c r="O43" s="240" t="s">
        <v>78</v>
      </c>
      <c r="P43" s="258"/>
      <c r="Q43" s="49"/>
      <c r="R43" s="49"/>
      <c r="S43" s="49"/>
      <c r="T43" s="440" t="str">
        <f t="shared" si="0"/>
        <v>Shrub / heathland / bracken / bog</v>
      </c>
      <c r="U43" s="440"/>
      <c r="V43" s="440"/>
      <c r="W43" s="440"/>
      <c r="X43" s="440"/>
      <c r="Y43" s="238" t="s">
        <v>61</v>
      </c>
      <c r="Z43" s="49"/>
      <c r="AA43" s="285" t="str">
        <f>IF($Y$16="Yes",(IF(Y43="Yes",'Data Tables'!O6,0)),"")</f>
        <v/>
      </c>
      <c r="AB43" s="285" t="str">
        <f>IF($Y$16="Yes",(IF(Z43="Yes",'Data Tables'!P6,0)),"")</f>
        <v/>
      </c>
      <c r="AC43" s="313"/>
    </row>
    <row r="44" spans="2:53" ht="15" customHeight="1" x14ac:dyDescent="0.3">
      <c r="B44" s="46"/>
      <c r="C44" s="42"/>
      <c r="D44" s="227"/>
      <c r="E44" s="440" t="str">
        <f>'Stage 2'!F39</f>
        <v>Water</v>
      </c>
      <c r="F44" s="440"/>
      <c r="G44" s="440"/>
      <c r="H44" s="440"/>
      <c r="I44" s="440"/>
      <c r="J44" s="49"/>
      <c r="K44" s="290" t="str">
        <f>IF('Stage 2'!K39&gt;0,'Data Tables'!O7,"")</f>
        <v/>
      </c>
      <c r="L44" s="269"/>
      <c r="M44" s="273"/>
      <c r="N44" s="238" t="s">
        <v>61</v>
      </c>
      <c r="O44" s="240" t="s">
        <v>78</v>
      </c>
      <c r="P44" s="258"/>
      <c r="Q44" s="49"/>
      <c r="R44" s="49"/>
      <c r="S44" s="49"/>
      <c r="T44" s="440" t="str">
        <f t="shared" si="0"/>
        <v>Water</v>
      </c>
      <c r="U44" s="440"/>
      <c r="V44" s="440"/>
      <c r="W44" s="440"/>
      <c r="X44" s="440"/>
      <c r="Y44" s="238" t="s">
        <v>61</v>
      </c>
      <c r="Z44" s="49"/>
      <c r="AA44" s="285" t="str">
        <f>IF($Y$16="Yes",(IF(Y44="Yes",'Data Tables'!O7,0)),"")</f>
        <v/>
      </c>
      <c r="AB44" s="285" t="str">
        <f>IF($Y$16="Yes",(IF(Z44="Yes",'Data Tables'!P7,0)),"")</f>
        <v/>
      </c>
      <c r="AC44" s="313"/>
    </row>
    <row r="45" spans="2:53" ht="16.05" customHeight="1" x14ac:dyDescent="0.3">
      <c r="B45" s="46"/>
      <c r="C45" s="42"/>
      <c r="D45" s="227"/>
      <c r="E45" s="49"/>
      <c r="F45" s="38"/>
      <c r="G45" s="49"/>
      <c r="H45" s="49"/>
      <c r="I45" s="49"/>
      <c r="J45" s="49"/>
      <c r="K45" s="269"/>
      <c r="L45" s="269"/>
      <c r="M45" s="269"/>
      <c r="N45" s="49"/>
      <c r="O45" s="246"/>
      <c r="P45" s="258"/>
      <c r="Q45" s="49"/>
      <c r="R45" s="49"/>
      <c r="S45" s="49"/>
      <c r="T45" s="49"/>
      <c r="U45" s="49"/>
      <c r="V45" s="49"/>
      <c r="W45" s="49"/>
      <c r="X45" s="49"/>
      <c r="Y45" s="144" t="s">
        <v>429</v>
      </c>
      <c r="Z45" s="144" t="s">
        <v>430</v>
      </c>
      <c r="AA45" s="49"/>
      <c r="AB45" s="49"/>
      <c r="AC45" s="313"/>
    </row>
    <row r="46" spans="2:53" ht="17.55" customHeight="1" x14ac:dyDescent="0.3">
      <c r="B46" s="46"/>
      <c r="C46" s="42"/>
      <c r="D46" s="227"/>
      <c r="E46" s="453" t="s">
        <v>86</v>
      </c>
      <c r="F46" s="453"/>
      <c r="G46" s="453"/>
      <c r="H46" s="453"/>
      <c r="I46" s="453"/>
      <c r="J46" s="49"/>
      <c r="K46" s="273">
        <f>IF(K16="Yes",(IF(N22="Yes",K22,0)+IF(N27="Yes",K27,0)+IF(N28="Yes",K28,0)+IF(N29="Yes",K29,0)+IF(N30="Yes",K30,0)+IF(N31="Yes",K31,0)+IF(N32="Yes",K32,0)+IF(N33="Yes",K33,0)+IF(N34="Yes",K34,0)+IF(N35="Yes",K35,0)+IF(N36="Yes",K36,0)+IF(N37="Yes",K37,0)+IF(N38="Yes",K38,0)+IF(N39="Yes",K39,0)+IF(N40="Yes",K40,0)+IF(N41="Yes",K41,0)+IF(N42="Yes",K42,0)+IF(N43="Yes",K43,0)+IF(N44="Yes",K44,0))/COUNTIF(N22:N44,"Yes"),0)</f>
        <v>0</v>
      </c>
      <c r="L46" s="269"/>
      <c r="M46" s="273">
        <f>IF(K16="Yes",(IF(N22="Yes",M22,0)+IF(N27="Yes",M27,0)+IF(N28="Yes",M28,0)+IF(N29="Yes",M29,0)+IF(N30="Yes",M30,0)+IF(N31="Yes",M31,0)+IF(N32="Yes",M32,0)+IF(N33="Yes",M33,0)+IF(N34="Yes",M34,0)+IF(N35="Yes",M35,0)+IF(N36="Yes",M36,0)+IF(N37="Yes",M37,0)+IF(N38="Yes",M38,0)+IF(N39="Yes",M39,0)+IF(N40="Yes",M40,0)+IF(N41="Yes",M41,0)+IF(N42="Yes",M42,0)+IF(N43="Yes",M43,0)+IF(N44="Yes",M44,0))/COUNTIF(N22:N44,"Yes"),0)</f>
        <v>0</v>
      </c>
      <c r="N46" s="49"/>
      <c r="O46" s="246"/>
      <c r="P46" s="258"/>
      <c r="Q46" s="49"/>
      <c r="R46" s="49"/>
      <c r="S46" s="49"/>
      <c r="T46" s="453" t="s">
        <v>87</v>
      </c>
      <c r="U46" s="453"/>
      <c r="V46" s="453"/>
      <c r="W46" s="453"/>
      <c r="X46" s="453"/>
      <c r="Y46" s="293">
        <f>IF(Y16="Yes",SUM(AA27:AA44)/(COUNTIF(Y27:Y44,"Yes")),0)</f>
        <v>0</v>
      </c>
      <c r="Z46" s="293">
        <f>IF(Y16="Yes",SUM(AB27:AB44)/(COUNTIF(Y27:Y44,"Yes")),0)</f>
        <v>0</v>
      </c>
      <c r="AA46" s="226"/>
      <c r="AB46" s="226"/>
      <c r="AC46" s="313"/>
    </row>
    <row r="47" spans="2:53" ht="16.05" customHeight="1" x14ac:dyDescent="0.3">
      <c r="B47" s="46"/>
      <c r="C47" s="42"/>
      <c r="D47" s="227"/>
      <c r="E47" s="281"/>
      <c r="F47" s="281"/>
      <c r="G47" s="281"/>
      <c r="H47" s="281"/>
      <c r="I47" s="281"/>
      <c r="J47" s="49"/>
      <c r="K47" s="269"/>
      <c r="L47" s="269"/>
      <c r="M47" s="269"/>
      <c r="N47" s="49"/>
      <c r="O47" s="246"/>
      <c r="P47" s="49"/>
      <c r="Q47" s="49"/>
      <c r="R47" s="49"/>
      <c r="S47" s="49"/>
      <c r="T47" s="281"/>
      <c r="U47" s="281"/>
      <c r="V47" s="281"/>
      <c r="W47" s="281"/>
      <c r="X47" s="281"/>
      <c r="Y47" s="316"/>
      <c r="Z47" s="49"/>
      <c r="AA47" s="316"/>
      <c r="AB47" s="316"/>
      <c r="AC47" s="313"/>
    </row>
    <row r="48" spans="2:53" ht="16.05" customHeight="1" x14ac:dyDescent="0.3">
      <c r="B48" s="46"/>
      <c r="C48" s="42"/>
      <c r="D48" s="227"/>
      <c r="E48" s="49"/>
      <c r="F48" s="38"/>
      <c r="G48" s="49"/>
      <c r="H48" s="49"/>
      <c r="I48" s="49"/>
      <c r="J48" s="49"/>
      <c r="K48" s="269"/>
      <c r="L48" s="269"/>
      <c r="M48" s="269"/>
      <c r="N48" s="49"/>
      <c r="O48" s="246"/>
      <c r="P48" s="144" t="s">
        <v>429</v>
      </c>
      <c r="Q48" s="144"/>
      <c r="R48" s="144" t="s">
        <v>430</v>
      </c>
      <c r="S48" s="49"/>
      <c r="T48" s="49"/>
      <c r="U48" s="49"/>
      <c r="V48" s="49"/>
      <c r="W48" s="49"/>
      <c r="X48" s="49"/>
      <c r="Y48" s="49"/>
      <c r="Z48" s="49"/>
      <c r="AA48" s="49"/>
      <c r="AB48" s="49"/>
      <c r="AC48" s="313"/>
    </row>
    <row r="49" spans="2:29" ht="16.05" customHeight="1" x14ac:dyDescent="0.3">
      <c r="B49" s="46"/>
      <c r="C49" s="42"/>
      <c r="D49" s="227"/>
      <c r="E49" s="49"/>
      <c r="F49" s="38"/>
      <c r="G49" s="49"/>
      <c r="H49" s="49"/>
      <c r="I49" s="453" t="s">
        <v>89</v>
      </c>
      <c r="J49" s="453"/>
      <c r="K49" s="453"/>
      <c r="L49" s="453"/>
      <c r="M49" s="453"/>
      <c r="N49" s="453"/>
      <c r="O49" s="453"/>
      <c r="P49" s="273" t="str">
        <f>IF(K46+Y46&gt;0,K46+Y46,"")</f>
        <v/>
      </c>
      <c r="Q49" s="269"/>
      <c r="R49" s="273" t="str">
        <f>IF(M46+Z46&gt;0,M46+Z46,"")</f>
        <v/>
      </c>
      <c r="S49" s="316"/>
      <c r="T49" s="49"/>
      <c r="U49" s="49"/>
      <c r="V49" s="49"/>
      <c r="W49" s="49"/>
      <c r="X49" s="49"/>
      <c r="Y49" s="49"/>
      <c r="Z49" s="49"/>
      <c r="AA49" s="49"/>
      <c r="AB49" s="49"/>
      <c r="AC49" s="313"/>
    </row>
    <row r="50" spans="2:29" ht="16.05" customHeight="1" thickBot="1" x14ac:dyDescent="0.35">
      <c r="B50" s="46"/>
      <c r="C50" s="42"/>
      <c r="D50" s="317"/>
      <c r="E50" s="247"/>
      <c r="F50" s="247"/>
      <c r="G50" s="247"/>
      <c r="H50" s="247"/>
      <c r="I50" s="247"/>
      <c r="J50" s="247"/>
      <c r="K50" s="247"/>
      <c r="L50" s="247"/>
      <c r="M50" s="247"/>
      <c r="N50" s="247"/>
      <c r="O50" s="247"/>
      <c r="P50" s="247"/>
      <c r="Q50" s="247"/>
      <c r="R50" s="247"/>
      <c r="S50" s="49"/>
      <c r="T50" s="49"/>
      <c r="U50" s="49"/>
      <c r="V50" s="318"/>
      <c r="W50" s="318"/>
      <c r="X50" s="318"/>
      <c r="Y50" s="318"/>
      <c r="Z50" s="318"/>
      <c r="AA50" s="318"/>
      <c r="AB50" s="318"/>
      <c r="AC50" s="319"/>
    </row>
    <row r="51" spans="2:29" ht="11.55" customHeight="1" x14ac:dyDescent="0.3">
      <c r="B51" s="46"/>
      <c r="C51" s="42"/>
      <c r="D51" s="49"/>
      <c r="E51" s="49"/>
      <c r="F51" s="49"/>
      <c r="G51" s="49"/>
      <c r="H51" s="49"/>
      <c r="I51" s="49"/>
      <c r="J51" s="49"/>
      <c r="K51" s="49"/>
      <c r="L51" s="49"/>
      <c r="M51" s="49"/>
      <c r="N51" s="49"/>
      <c r="O51" s="49"/>
      <c r="P51" s="49"/>
      <c r="Q51" s="49"/>
      <c r="R51" s="49"/>
      <c r="S51" s="49"/>
      <c r="T51" s="49"/>
      <c r="U51" s="320"/>
      <c r="V51" s="66"/>
      <c r="W51" s="66"/>
      <c r="X51" s="66"/>
      <c r="Y51" s="66"/>
      <c r="Z51" s="66"/>
      <c r="AA51" s="66"/>
      <c r="AB51" s="66"/>
      <c r="AC51" s="66"/>
    </row>
    <row r="52" spans="2:29" ht="12.6" customHeight="1" x14ac:dyDescent="0.3">
      <c r="B52" s="46"/>
      <c r="C52" s="42"/>
      <c r="D52" s="49"/>
      <c r="E52" s="48" t="s">
        <v>12</v>
      </c>
      <c r="F52" s="375" t="s">
        <v>437</v>
      </c>
      <c r="G52" s="375"/>
      <c r="H52" s="375"/>
      <c r="I52" s="375"/>
      <c r="J52" s="375"/>
      <c r="K52" s="144" t="s">
        <v>2</v>
      </c>
      <c r="L52" s="144"/>
      <c r="M52" s="144" t="s">
        <v>2</v>
      </c>
      <c r="N52" s="144" t="s">
        <v>3</v>
      </c>
      <c r="O52" s="49"/>
      <c r="P52" s="49"/>
      <c r="Q52" s="49"/>
      <c r="R52" s="49"/>
      <c r="S52" s="49"/>
      <c r="T52" s="49"/>
      <c r="U52" s="320"/>
      <c r="V52" s="66"/>
      <c r="W52" s="66"/>
      <c r="X52" s="66"/>
      <c r="Y52" s="66"/>
      <c r="Z52" s="66"/>
      <c r="AA52" s="66"/>
      <c r="AB52" s="66"/>
      <c r="AC52" s="66"/>
    </row>
    <row r="53" spans="2:29" ht="13.05" customHeight="1" x14ac:dyDescent="0.3">
      <c r="B53" s="46"/>
      <c r="C53" s="42"/>
      <c r="D53" s="49"/>
      <c r="E53" s="49"/>
      <c r="F53" s="49"/>
      <c r="G53" s="49"/>
      <c r="H53" s="49"/>
      <c r="I53" s="49"/>
      <c r="J53" s="49"/>
      <c r="K53" s="144" t="s">
        <v>429</v>
      </c>
      <c r="L53" s="144"/>
      <c r="M53" s="144" t="s">
        <v>430</v>
      </c>
      <c r="N53" s="49"/>
      <c r="O53" s="49"/>
      <c r="P53" s="49"/>
      <c r="Q53" s="49"/>
      <c r="R53" s="49"/>
      <c r="S53" s="49"/>
      <c r="T53" s="49"/>
      <c r="U53" s="320"/>
      <c r="V53" s="66"/>
      <c r="W53" s="66"/>
      <c r="X53" s="66"/>
      <c r="Y53" s="66"/>
      <c r="Z53" s="66"/>
      <c r="AA53" s="66"/>
      <c r="AB53" s="66"/>
      <c r="AC53" s="66"/>
    </row>
    <row r="54" spans="2:29" ht="13.05" customHeight="1" x14ac:dyDescent="0.3">
      <c r="B54" s="46"/>
      <c r="C54" s="42"/>
      <c r="D54" s="49"/>
      <c r="E54" s="440" t="s">
        <v>32</v>
      </c>
      <c r="F54" s="440"/>
      <c r="G54" s="440"/>
      <c r="H54" s="440"/>
      <c r="I54" s="440"/>
      <c r="J54" s="49"/>
      <c r="K54" s="321" t="e">
        <f>(1/(((P49-(-IF(K62&gt;0,K62,8))))/$K$10))</f>
        <v>#VALUE!</v>
      </c>
      <c r="L54" s="322"/>
      <c r="M54" s="321" t="e">
        <f>(1/(((R49-(-IF(M62&gt;0,M62,930))))/$K$11))</f>
        <v>#VALUE!</v>
      </c>
      <c r="N54" s="240" t="s">
        <v>17</v>
      </c>
      <c r="O54" s="49"/>
      <c r="P54" s="49"/>
      <c r="Q54" s="49"/>
      <c r="R54" s="49"/>
      <c r="S54" s="49"/>
      <c r="T54" s="49"/>
      <c r="U54" s="320"/>
      <c r="V54" s="66"/>
      <c r="W54" s="66"/>
      <c r="X54" s="66"/>
      <c r="Y54" s="66"/>
      <c r="Z54" s="66"/>
      <c r="AA54" s="66"/>
      <c r="AB54" s="66"/>
      <c r="AC54" s="66"/>
    </row>
    <row r="55" spans="2:29" ht="14.55" customHeight="1" x14ac:dyDescent="0.3">
      <c r="B55" s="46"/>
      <c r="C55" s="42"/>
      <c r="D55" s="49"/>
      <c r="E55" s="440" t="s">
        <v>481</v>
      </c>
      <c r="F55" s="440"/>
      <c r="G55" s="440"/>
      <c r="H55" s="440"/>
      <c r="I55" s="440"/>
      <c r="J55" s="49"/>
      <c r="K55" s="321"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22"/>
      <c r="M55" s="321"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40" t="s">
        <v>17</v>
      </c>
      <c r="O55" s="49"/>
      <c r="P55" s="49"/>
      <c r="Q55" s="49"/>
      <c r="R55" s="49"/>
      <c r="S55" s="49"/>
      <c r="T55" s="49"/>
      <c r="U55" s="320"/>
      <c r="V55" s="66"/>
      <c r="W55" s="66"/>
      <c r="X55" s="66"/>
      <c r="Y55" s="66"/>
      <c r="Z55" s="66"/>
      <c r="AA55" s="66"/>
      <c r="AB55" s="66"/>
      <c r="AC55" s="66"/>
    </row>
    <row r="56" spans="2:29" ht="14.55" customHeight="1" x14ac:dyDescent="0.3">
      <c r="B56" s="46"/>
      <c r="C56" s="42"/>
      <c r="D56" s="49"/>
      <c r="E56" s="440" t="s">
        <v>393</v>
      </c>
      <c r="F56" s="440"/>
      <c r="G56" s="440"/>
      <c r="H56" s="440"/>
      <c r="I56" s="440"/>
      <c r="J56" s="144"/>
      <c r="K56" s="321" t="e">
        <f>(1/(($P$49-'Data Tables'!O7)/$K$10))</f>
        <v>#VALUE!</v>
      </c>
      <c r="L56" s="322"/>
      <c r="M56" s="321" t="e">
        <f>(1/(($R$49-'Data Tables'!P7)/$K$11))</f>
        <v>#VALUE!</v>
      </c>
      <c r="N56" s="240" t="s">
        <v>17</v>
      </c>
      <c r="O56" s="240"/>
      <c r="P56" s="264"/>
      <c r="Q56" s="264"/>
      <c r="R56" s="240"/>
      <c r="S56" s="240"/>
      <c r="T56" s="49"/>
      <c r="U56" s="320"/>
      <c r="V56" s="66"/>
      <c r="W56" s="66"/>
      <c r="X56" s="66"/>
      <c r="Y56" s="66"/>
      <c r="Z56" s="66"/>
      <c r="AA56" s="66"/>
      <c r="AB56" s="66"/>
      <c r="AC56" s="66"/>
    </row>
    <row r="57" spans="2:29" ht="14.55" customHeight="1" x14ac:dyDescent="0.3">
      <c r="B57" s="46"/>
      <c r="C57" s="42"/>
      <c r="D57" s="49"/>
      <c r="E57" s="440" t="s">
        <v>34</v>
      </c>
      <c r="F57" s="440"/>
      <c r="G57" s="440"/>
      <c r="H57" s="440"/>
      <c r="I57" s="440"/>
      <c r="J57" s="144"/>
      <c r="K57" s="321" t="e">
        <f>(1/(($P$49-'Data Tables'!O5)/$K$10))</f>
        <v>#VALUE!</v>
      </c>
      <c r="L57" s="322"/>
      <c r="M57" s="321" t="e">
        <f>(1/(($R$49-'Data Tables'!P5)/$K$11))</f>
        <v>#VALUE!</v>
      </c>
      <c r="N57" s="240" t="s">
        <v>17</v>
      </c>
      <c r="O57" s="240"/>
      <c r="P57" s="264"/>
      <c r="Q57" s="264"/>
      <c r="R57" s="240"/>
      <c r="S57" s="240"/>
      <c r="T57" s="49"/>
      <c r="U57" s="320"/>
      <c r="V57" s="66"/>
      <c r="W57" s="66"/>
      <c r="X57" s="66"/>
      <c r="Y57" s="66"/>
      <c r="Z57" s="66"/>
      <c r="AA57" s="66"/>
      <c r="AB57" s="66"/>
      <c r="AC57" s="66"/>
    </row>
    <row r="58" spans="2:29" ht="14.55" customHeight="1" x14ac:dyDescent="0.3">
      <c r="B58" s="46"/>
      <c r="C58" s="42"/>
      <c r="D58" s="49"/>
      <c r="E58" s="440" t="s">
        <v>241</v>
      </c>
      <c r="F58" s="440"/>
      <c r="G58" s="440"/>
      <c r="H58" s="440"/>
      <c r="I58" s="440"/>
      <c r="J58" s="144"/>
      <c r="K58" s="321" t="e">
        <f>(1/(($P$49-'Data Tables'!O6)/$K$10))</f>
        <v>#VALUE!</v>
      </c>
      <c r="L58" s="322"/>
      <c r="M58" s="321" t="e">
        <f>(1/(($R$49-'Data Tables'!P6)/$K$11))</f>
        <v>#VALUE!</v>
      </c>
      <c r="N58" s="240" t="s">
        <v>17</v>
      </c>
      <c r="O58" s="240"/>
      <c r="P58" s="264"/>
      <c r="Q58" s="264"/>
      <c r="R58" s="240"/>
      <c r="S58" s="240"/>
      <c r="T58" s="49"/>
      <c r="U58" s="320"/>
      <c r="V58" s="66"/>
      <c r="W58" s="66"/>
      <c r="X58" s="66"/>
      <c r="Y58" s="66"/>
      <c r="Z58" s="66"/>
      <c r="AA58" s="66"/>
      <c r="AB58" s="66"/>
      <c r="AC58" s="66"/>
    </row>
    <row r="59" spans="2:29" ht="14.55" customHeight="1" x14ac:dyDescent="0.3">
      <c r="B59" s="46"/>
      <c r="C59" s="42"/>
      <c r="D59" s="49"/>
      <c r="E59" s="440" t="s">
        <v>432</v>
      </c>
      <c r="F59" s="440"/>
      <c r="G59" s="440"/>
      <c r="H59" s="440"/>
      <c r="I59" s="440"/>
      <c r="J59" s="144"/>
      <c r="K59" s="321" t="e">
        <f>(1/(($P$49-'Data Tables'!O4)/$K$10))</f>
        <v>#VALUE!</v>
      </c>
      <c r="L59" s="322"/>
      <c r="M59" s="321" t="e">
        <f>(1/(($R$49-'Data Tables'!P4)/$K$11))</f>
        <v>#VALUE!</v>
      </c>
      <c r="N59" s="240" t="s">
        <v>17</v>
      </c>
      <c r="O59" s="240"/>
      <c r="P59" s="264"/>
      <c r="Q59" s="264"/>
      <c r="R59" s="240"/>
      <c r="S59" s="240"/>
      <c r="T59" s="49"/>
      <c r="U59" s="320"/>
      <c r="V59" s="66"/>
      <c r="W59" s="66"/>
      <c r="X59" s="66"/>
      <c r="Y59" s="66"/>
      <c r="Z59" s="66"/>
      <c r="AA59" s="66"/>
      <c r="AB59" s="66"/>
      <c r="AC59" s="66"/>
    </row>
    <row r="60" spans="2:29" ht="7.5" customHeight="1" x14ac:dyDescent="0.3">
      <c r="B60" s="46"/>
      <c r="C60" s="42"/>
      <c r="D60" s="49"/>
      <c r="E60" s="49"/>
      <c r="F60" s="49"/>
      <c r="G60" s="49"/>
      <c r="H60" s="49"/>
      <c r="I60" s="49"/>
      <c r="J60" s="49"/>
      <c r="K60" s="49"/>
      <c r="L60" s="49"/>
      <c r="M60" s="49"/>
      <c r="N60" s="49"/>
      <c r="O60" s="49"/>
      <c r="P60" s="49"/>
      <c r="Q60" s="49"/>
      <c r="R60" s="49"/>
      <c r="S60" s="49"/>
      <c r="T60" s="49"/>
      <c r="U60" s="320"/>
      <c r="V60" s="66"/>
      <c r="W60" s="66"/>
      <c r="X60" s="66"/>
      <c r="Y60" s="66"/>
      <c r="Z60" s="66"/>
      <c r="AA60" s="66"/>
      <c r="AB60" s="66"/>
      <c r="AC60" s="66"/>
    </row>
    <row r="61" spans="2:29" ht="16.05" customHeight="1" x14ac:dyDescent="0.3">
      <c r="B61" s="46"/>
      <c r="C61" s="42"/>
      <c r="D61" s="49"/>
      <c r="E61" s="49"/>
      <c r="F61" s="375" t="s">
        <v>244</v>
      </c>
      <c r="G61" s="375"/>
      <c r="H61" s="375"/>
      <c r="I61" s="375"/>
      <c r="J61" s="375"/>
      <c r="K61" s="226"/>
      <c r="L61" s="226"/>
      <c r="M61" s="226"/>
      <c r="N61" s="49"/>
      <c r="O61" s="49"/>
      <c r="P61" s="49"/>
      <c r="Q61" s="49"/>
      <c r="R61" s="49"/>
      <c r="S61" s="49"/>
      <c r="T61" s="49"/>
      <c r="U61" s="320"/>
      <c r="V61" s="66"/>
      <c r="W61" s="66"/>
      <c r="X61" s="66"/>
      <c r="Y61" s="66"/>
      <c r="Z61" s="66"/>
      <c r="AA61" s="66"/>
      <c r="AB61" s="66"/>
      <c r="AC61" s="66"/>
    </row>
    <row r="62" spans="2:29" ht="18" customHeight="1" x14ac:dyDescent="0.3">
      <c r="B62" s="46"/>
      <c r="C62" s="42"/>
      <c r="D62" s="49"/>
      <c r="E62" s="49"/>
      <c r="F62" s="49"/>
      <c r="G62" s="375" t="s">
        <v>232</v>
      </c>
      <c r="H62" s="375"/>
      <c r="I62" s="375"/>
      <c r="J62" s="375"/>
      <c r="K62" s="238"/>
      <c r="L62" s="239"/>
      <c r="M62" s="238"/>
      <c r="N62" s="240" t="s">
        <v>78</v>
      </c>
      <c r="O62" s="227"/>
      <c r="P62" s="49"/>
      <c r="Q62" s="49"/>
      <c r="R62" s="49"/>
      <c r="S62" s="49"/>
      <c r="T62" s="49"/>
      <c r="U62" s="320"/>
      <c r="V62" s="66"/>
      <c r="W62" s="66"/>
      <c r="X62" s="66"/>
      <c r="Y62" s="66"/>
      <c r="Z62" s="66"/>
      <c r="AA62" s="66"/>
      <c r="AB62" s="66"/>
      <c r="AC62" s="66"/>
    </row>
    <row r="63" spans="2:29" ht="58.05" customHeight="1" x14ac:dyDescent="0.3">
      <c r="B63" s="46"/>
      <c r="C63" s="42"/>
      <c r="D63" s="49"/>
      <c r="E63" s="436" t="s">
        <v>431</v>
      </c>
      <c r="F63" s="436"/>
      <c r="G63" s="436"/>
      <c r="H63" s="436"/>
      <c r="I63" s="436"/>
      <c r="J63" s="436"/>
      <c r="K63" s="436"/>
      <c r="L63" s="436"/>
      <c r="M63" s="436"/>
      <c r="N63" s="436"/>
      <c r="O63" s="436"/>
      <c r="P63" s="436"/>
      <c r="Q63" s="436"/>
      <c r="R63" s="436"/>
      <c r="S63" s="436"/>
      <c r="T63" s="436"/>
      <c r="U63" s="320"/>
      <c r="V63" s="66"/>
      <c r="W63" s="66"/>
      <c r="X63" s="66"/>
      <c r="Y63" s="66"/>
      <c r="Z63" s="66"/>
      <c r="AA63" s="66"/>
      <c r="AB63" s="66"/>
      <c r="AC63" s="66"/>
    </row>
    <row r="64" spans="2:29" ht="14.55" customHeight="1" x14ac:dyDescent="0.3">
      <c r="B64" s="46"/>
      <c r="C64" s="42"/>
      <c r="D64" s="49"/>
      <c r="E64" s="49"/>
      <c r="F64" s="49"/>
      <c r="G64" s="49"/>
      <c r="H64" s="49"/>
      <c r="I64" s="49"/>
      <c r="J64" s="49"/>
      <c r="K64" s="226"/>
      <c r="L64" s="226"/>
      <c r="M64" s="226"/>
      <c r="N64" s="49"/>
      <c r="O64" s="49"/>
      <c r="P64" s="226"/>
      <c r="Q64" s="226"/>
      <c r="R64" s="226"/>
      <c r="S64" s="49"/>
      <c r="T64" s="49"/>
      <c r="U64" s="320"/>
      <c r="V64" s="66"/>
      <c r="W64" s="66"/>
      <c r="X64" s="66"/>
      <c r="Y64" s="66"/>
      <c r="Z64" s="66"/>
      <c r="AA64" s="66"/>
      <c r="AB64" s="66"/>
      <c r="AC64" s="66"/>
    </row>
    <row r="65" spans="2:29" ht="10.050000000000001" customHeight="1" x14ac:dyDescent="0.3">
      <c r="B65" s="46"/>
      <c r="C65" s="42"/>
      <c r="D65" s="49"/>
      <c r="E65" s="48" t="s">
        <v>14</v>
      </c>
      <c r="F65" s="49" t="s">
        <v>31</v>
      </c>
      <c r="G65" s="49"/>
      <c r="H65" s="49"/>
      <c r="I65" s="49"/>
      <c r="J65" s="49"/>
      <c r="K65" s="144" t="s">
        <v>2</v>
      </c>
      <c r="L65" s="144"/>
      <c r="M65" s="144" t="s">
        <v>2</v>
      </c>
      <c r="N65" s="144" t="s">
        <v>3</v>
      </c>
      <c r="O65" s="144"/>
      <c r="P65" s="144" t="s">
        <v>2</v>
      </c>
      <c r="Q65" s="144"/>
      <c r="R65" s="144" t="s">
        <v>3</v>
      </c>
      <c r="S65" s="144"/>
      <c r="T65" s="49"/>
      <c r="U65" s="320"/>
      <c r="V65" s="66"/>
      <c r="W65" s="66"/>
      <c r="X65" s="66"/>
      <c r="Y65" s="66"/>
      <c r="Z65" s="66"/>
      <c r="AA65" s="66"/>
      <c r="AB65" s="66"/>
      <c r="AC65" s="66"/>
    </row>
    <row r="66" spans="2:29" ht="13.5" customHeight="1" x14ac:dyDescent="0.3">
      <c r="B66" s="46"/>
      <c r="C66" s="42"/>
      <c r="D66" s="49"/>
      <c r="E66" s="48"/>
      <c r="F66" s="49"/>
      <c r="G66" s="49"/>
      <c r="H66" s="49"/>
      <c r="I66" s="49"/>
      <c r="J66" s="49"/>
      <c r="K66" s="144" t="s">
        <v>429</v>
      </c>
      <c r="L66" s="144"/>
      <c r="M66" s="144" t="s">
        <v>430</v>
      </c>
      <c r="N66" s="49"/>
      <c r="O66" s="49"/>
      <c r="P66" s="144" t="s">
        <v>429</v>
      </c>
      <c r="Q66" s="144"/>
      <c r="R66" s="144" t="s">
        <v>430</v>
      </c>
      <c r="S66" s="144"/>
      <c r="T66" s="49"/>
      <c r="U66" s="320"/>
      <c r="V66" s="66"/>
      <c r="W66" s="323"/>
      <c r="X66" s="66"/>
      <c r="Y66" s="66"/>
      <c r="Z66" s="66"/>
      <c r="AA66" s="66"/>
      <c r="AB66" s="66"/>
      <c r="AC66" s="66"/>
    </row>
    <row r="67" spans="2:29" ht="19.05" customHeight="1" x14ac:dyDescent="0.3">
      <c r="B67" s="46"/>
      <c r="C67" s="42"/>
      <c r="D67" s="49"/>
      <c r="E67" s="440" t="s">
        <v>32</v>
      </c>
      <c r="F67" s="440"/>
      <c r="G67" s="440"/>
      <c r="H67" s="440"/>
      <c r="I67" s="440"/>
      <c r="J67" s="144"/>
      <c r="K67" s="324"/>
      <c r="L67" s="277"/>
      <c r="M67" s="324"/>
      <c r="N67" s="240" t="s">
        <v>35</v>
      </c>
      <c r="O67" s="240"/>
      <c r="P67" s="321" t="str">
        <f>IF(K67&gt;0,(1/(($P$49-(-IF(K62&gt;0,K62,8)))/K67)),"0")</f>
        <v>0</v>
      </c>
      <c r="Q67" s="322"/>
      <c r="R67" s="321" t="str">
        <f>IF(M67&gt;0,(1/(($P$49-(-IF(M62&gt;0,M62,930)))/M67)),"0")</f>
        <v>0</v>
      </c>
      <c r="S67" s="240" t="s">
        <v>17</v>
      </c>
      <c r="T67" s="49"/>
      <c r="U67" s="320"/>
      <c r="V67" s="66"/>
      <c r="W67" s="323"/>
      <c r="X67" s="66"/>
      <c r="Y67" s="66"/>
      <c r="Z67" s="66"/>
      <c r="AA67" s="66"/>
      <c r="AB67" s="66"/>
      <c r="AC67" s="66"/>
    </row>
    <row r="68" spans="2:29" ht="22.5" customHeight="1" x14ac:dyDescent="0.3">
      <c r="B68" s="46"/>
      <c r="C68" s="42"/>
      <c r="D68" s="49"/>
      <c r="E68" s="440" t="s">
        <v>481</v>
      </c>
      <c r="F68" s="440"/>
      <c r="G68" s="440"/>
      <c r="H68" s="440"/>
      <c r="I68" s="440"/>
      <c r="J68" s="144"/>
      <c r="K68" s="324"/>
      <c r="L68" s="277"/>
      <c r="M68" s="324"/>
      <c r="N68" s="240" t="s">
        <v>35</v>
      </c>
      <c r="O68" s="240"/>
      <c r="P68" s="321"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22"/>
      <c r="R68" s="321"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40" t="s">
        <v>17</v>
      </c>
      <c r="T68" s="49"/>
      <c r="U68" s="320"/>
      <c r="V68" s="66"/>
      <c r="W68" s="66"/>
      <c r="X68" s="66"/>
      <c r="Y68" s="66"/>
      <c r="Z68" s="66"/>
      <c r="AA68" s="66"/>
      <c r="AB68" s="66"/>
      <c r="AC68" s="66"/>
    </row>
    <row r="69" spans="2:29" ht="13.5" customHeight="1" x14ac:dyDescent="0.3">
      <c r="B69" s="46"/>
      <c r="C69" s="42"/>
      <c r="D69" s="49"/>
      <c r="E69" s="440" t="s">
        <v>393</v>
      </c>
      <c r="F69" s="440"/>
      <c r="G69" s="440"/>
      <c r="H69" s="440"/>
      <c r="I69" s="440"/>
      <c r="J69" s="144"/>
      <c r="K69" s="324"/>
      <c r="L69" s="277"/>
      <c r="M69" s="324"/>
      <c r="N69" s="240" t="s">
        <v>35</v>
      </c>
      <c r="O69" s="240"/>
      <c r="P69" s="321" t="str">
        <f>IF(K69&gt;0,(1/(($P$49-'Data Tables'!O7)/K69)),"0")</f>
        <v>0</v>
      </c>
      <c r="Q69" s="322"/>
      <c r="R69" s="321" t="str">
        <f>IF(M69&gt;0,(1/(($R$49-'Data Tables'!P7)/M69)),"0")</f>
        <v>0</v>
      </c>
      <c r="S69" s="240" t="s">
        <v>17</v>
      </c>
      <c r="T69" s="49"/>
      <c r="U69" s="320"/>
      <c r="V69" s="66"/>
      <c r="W69" s="323"/>
      <c r="X69" s="66"/>
      <c r="Y69" s="66"/>
      <c r="Z69" s="66"/>
      <c r="AA69" s="66"/>
      <c r="AB69" s="66"/>
      <c r="AC69" s="66"/>
    </row>
    <row r="70" spans="2:29" ht="16.5" customHeight="1" x14ac:dyDescent="0.3">
      <c r="B70" s="46"/>
      <c r="C70" s="42"/>
      <c r="D70" s="49"/>
      <c r="E70" s="440" t="s">
        <v>34</v>
      </c>
      <c r="F70" s="440"/>
      <c r="G70" s="440"/>
      <c r="H70" s="440"/>
      <c r="I70" s="440"/>
      <c r="J70" s="144"/>
      <c r="K70" s="324"/>
      <c r="L70" s="277"/>
      <c r="M70" s="324"/>
      <c r="N70" s="240" t="s">
        <v>35</v>
      </c>
      <c r="O70" s="240"/>
      <c r="P70" s="321" t="str">
        <f>IF(K70&gt;0,(1/(($P$49-'Data Tables'!O5)/K70)),"0")</f>
        <v>0</v>
      </c>
      <c r="Q70" s="322"/>
      <c r="R70" s="321" t="str">
        <f>IF(M70&gt;0,(1/(($P$49-'Data Tables'!P5)/M70)),"0")</f>
        <v>0</v>
      </c>
      <c r="S70" s="240" t="s">
        <v>17</v>
      </c>
      <c r="T70" s="49"/>
      <c r="U70" s="320"/>
      <c r="V70" s="66"/>
      <c r="W70" s="66"/>
      <c r="X70" s="66"/>
      <c r="Y70" s="66"/>
      <c r="Z70" s="66"/>
      <c r="AA70" s="66"/>
      <c r="AB70" s="66"/>
      <c r="AC70" s="66"/>
    </row>
    <row r="71" spans="2:29" ht="16.5" customHeight="1" x14ac:dyDescent="0.3">
      <c r="B71" s="46"/>
      <c r="C71" s="42"/>
      <c r="D71" s="49"/>
      <c r="E71" s="440" t="s">
        <v>241</v>
      </c>
      <c r="F71" s="440"/>
      <c r="G71" s="440"/>
      <c r="H71" s="440"/>
      <c r="I71" s="440"/>
      <c r="J71" s="144"/>
      <c r="K71" s="324"/>
      <c r="L71" s="277"/>
      <c r="M71" s="324"/>
      <c r="N71" s="240" t="s">
        <v>35</v>
      </c>
      <c r="O71" s="240"/>
      <c r="P71" s="321" t="str">
        <f>IF(K71&gt;0,(1/(($P$49-'Data Tables'!O6)/K71)),"0")</f>
        <v>0</v>
      </c>
      <c r="Q71" s="322"/>
      <c r="R71" s="321" t="str">
        <f>IF(M71&gt;0,(1/(($R$49-'Data Tables'!P6)/M71)),"0")</f>
        <v>0</v>
      </c>
      <c r="S71" s="240" t="s">
        <v>17</v>
      </c>
      <c r="T71" s="49"/>
      <c r="U71" s="320"/>
      <c r="V71" s="66"/>
      <c r="W71" s="66"/>
      <c r="X71" s="66"/>
      <c r="Y71" s="66"/>
      <c r="Z71" s="66"/>
      <c r="AA71" s="66"/>
      <c r="AB71" s="66"/>
      <c r="AC71" s="66"/>
    </row>
    <row r="72" spans="2:29" ht="16.5" customHeight="1" x14ac:dyDescent="0.3">
      <c r="B72" s="46"/>
      <c r="C72" s="42"/>
      <c r="D72" s="49"/>
      <c r="E72" s="440" t="s">
        <v>432</v>
      </c>
      <c r="F72" s="440"/>
      <c r="G72" s="440"/>
      <c r="H72" s="440"/>
      <c r="I72" s="440"/>
      <c r="J72" s="144"/>
      <c r="K72" s="324"/>
      <c r="L72" s="277"/>
      <c r="M72" s="324"/>
      <c r="N72" s="240" t="s">
        <v>35</v>
      </c>
      <c r="O72" s="240"/>
      <c r="P72" s="321" t="str">
        <f>IF(K72&gt;0,(1/(($P$49-'Data Tables'!O4)/K72)),"0")</f>
        <v>0</v>
      </c>
      <c r="Q72" s="322"/>
      <c r="R72" s="321" t="str">
        <f>IF(M72&gt;0,(1/(($R$49-'Data Tables'!P4)/M72)),"0")</f>
        <v>0</v>
      </c>
      <c r="S72" s="240" t="s">
        <v>17</v>
      </c>
      <c r="T72" s="49"/>
      <c r="U72" s="320"/>
      <c r="V72" s="66"/>
      <c r="W72" s="66"/>
      <c r="X72" s="66"/>
      <c r="Y72" s="66"/>
      <c r="Z72" s="66"/>
      <c r="AA72" s="66"/>
      <c r="AB72" s="66"/>
      <c r="AC72" s="66"/>
    </row>
    <row r="73" spans="2:29" ht="22.05" customHeight="1" x14ac:dyDescent="0.3">
      <c r="B73" s="46"/>
      <c r="C73" s="42"/>
      <c r="D73" s="49"/>
      <c r="E73" s="49"/>
      <c r="F73" s="49"/>
      <c r="G73" s="49"/>
      <c r="H73" s="49"/>
      <c r="I73" s="49"/>
      <c r="J73" s="49"/>
      <c r="K73" s="49"/>
      <c r="L73" s="49"/>
      <c r="M73" s="49"/>
      <c r="N73" s="240"/>
      <c r="O73" s="240"/>
      <c r="P73" s="325"/>
      <c r="Q73" s="325"/>
      <c r="R73" s="240"/>
      <c r="S73" s="240"/>
      <c r="T73" s="49"/>
      <c r="U73" s="320"/>
      <c r="V73" s="66"/>
      <c r="W73" s="66"/>
      <c r="X73" s="66"/>
      <c r="Y73" s="66"/>
      <c r="Z73" s="66"/>
      <c r="AA73" s="66"/>
      <c r="AB73" s="66"/>
      <c r="AC73" s="66"/>
    </row>
    <row r="74" spans="2:29" ht="15.6" customHeight="1" x14ac:dyDescent="0.3">
      <c r="B74" s="46"/>
      <c r="C74" s="42"/>
      <c r="D74" s="49"/>
      <c r="E74" s="49"/>
      <c r="F74" s="390" t="s">
        <v>63</v>
      </c>
      <c r="G74" s="390"/>
      <c r="H74" s="390"/>
      <c r="I74" s="390"/>
      <c r="J74" s="49"/>
      <c r="K74" s="273">
        <f>K10-(SUM(K67:K72))</f>
        <v>0</v>
      </c>
      <c r="L74" s="269"/>
      <c r="M74" s="273">
        <f>K11-(SUM(M67:M72))</f>
        <v>0</v>
      </c>
      <c r="N74" s="246" t="s">
        <v>15</v>
      </c>
      <c r="O74" s="246"/>
      <c r="P74" s="290">
        <f>SUM(P67:P72)</f>
        <v>0</v>
      </c>
      <c r="Q74" s="326"/>
      <c r="R74" s="290">
        <f>SUM(R67:R72)</f>
        <v>0</v>
      </c>
      <c r="S74" s="246" t="s">
        <v>17</v>
      </c>
      <c r="T74" s="49"/>
      <c r="U74" s="320"/>
      <c r="V74" s="66"/>
      <c r="W74" s="66"/>
      <c r="X74" s="66"/>
      <c r="Y74" s="66"/>
      <c r="Z74" s="66"/>
      <c r="AA74" s="66"/>
      <c r="AB74" s="66"/>
      <c r="AC74" s="66"/>
    </row>
    <row r="75" spans="2:29" ht="18" customHeight="1" x14ac:dyDescent="0.3">
      <c r="B75" s="46"/>
      <c r="C75" s="42"/>
      <c r="D75" s="49"/>
      <c r="E75" s="49"/>
      <c r="F75" s="49"/>
      <c r="G75" s="49"/>
      <c r="H75" s="49"/>
      <c r="I75" s="49"/>
      <c r="J75" s="49"/>
      <c r="K75" s="49"/>
      <c r="L75" s="49"/>
      <c r="M75" s="49"/>
      <c r="N75" s="49"/>
      <c r="O75" s="49"/>
      <c r="P75" s="49"/>
      <c r="Q75" s="49"/>
      <c r="R75" s="49"/>
      <c r="S75" s="49"/>
      <c r="T75" s="49"/>
      <c r="U75" s="320"/>
      <c r="V75" s="66"/>
      <c r="W75" s="66"/>
      <c r="X75" s="66"/>
      <c r="Y75" s="66"/>
      <c r="Z75" s="66"/>
      <c r="AA75" s="66"/>
      <c r="AB75" s="66"/>
      <c r="AC75" s="66"/>
    </row>
    <row r="76" spans="2:29" ht="55.5" customHeight="1" x14ac:dyDescent="0.3">
      <c r="B76" s="46"/>
      <c r="C76" s="42"/>
      <c r="D76" s="49"/>
      <c r="E76" s="436" t="s">
        <v>435</v>
      </c>
      <c r="F76" s="436"/>
      <c r="G76" s="436"/>
      <c r="H76" s="436"/>
      <c r="I76" s="436"/>
      <c r="J76" s="436"/>
      <c r="K76" s="436"/>
      <c r="L76" s="436"/>
      <c r="M76" s="436"/>
      <c r="N76" s="436"/>
      <c r="O76" s="436"/>
      <c r="P76" s="436"/>
      <c r="Q76" s="436"/>
      <c r="R76" s="436"/>
      <c r="S76" s="436"/>
      <c r="T76" s="436"/>
      <c r="U76" s="320"/>
      <c r="V76" s="66"/>
      <c r="W76" s="66"/>
      <c r="X76" s="66"/>
      <c r="Y76" s="66"/>
      <c r="Z76" s="66"/>
      <c r="AA76" s="66"/>
      <c r="AB76" s="66"/>
      <c r="AC76" s="66"/>
    </row>
    <row r="77" spans="2:29" ht="15.6" x14ac:dyDescent="0.3">
      <c r="B77" s="46"/>
      <c r="C77" s="42"/>
      <c r="D77" s="49"/>
      <c r="E77" s="49"/>
      <c r="F77" s="49"/>
      <c r="G77" s="49"/>
      <c r="H77" s="49"/>
      <c r="I77" s="49"/>
      <c r="J77" s="49"/>
      <c r="K77" s="49"/>
      <c r="L77" s="49"/>
      <c r="M77" s="49"/>
      <c r="N77" s="49"/>
      <c r="O77" s="49"/>
      <c r="P77" s="49"/>
      <c r="Q77" s="49"/>
      <c r="R77" s="49"/>
      <c r="S77" s="49"/>
      <c r="T77" s="49"/>
      <c r="U77" s="320"/>
      <c r="V77" s="66"/>
      <c r="W77" s="66"/>
      <c r="X77" s="66"/>
      <c r="Y77" s="66"/>
      <c r="Z77" s="66"/>
      <c r="AA77" s="66"/>
      <c r="AB77" s="66"/>
      <c r="AC77" s="66"/>
    </row>
    <row r="78" spans="2:29" ht="15.6" x14ac:dyDescent="0.3">
      <c r="B78" s="46"/>
      <c r="C78" s="42"/>
      <c r="D78" s="49"/>
      <c r="E78" s="48" t="s">
        <v>27</v>
      </c>
      <c r="F78" s="49" t="s">
        <v>31</v>
      </c>
      <c r="G78" s="49"/>
      <c r="H78" s="49"/>
      <c r="I78" s="49"/>
      <c r="J78" s="49"/>
      <c r="K78" s="144" t="s">
        <v>2</v>
      </c>
      <c r="L78" s="144"/>
      <c r="M78" s="144" t="s">
        <v>2</v>
      </c>
      <c r="N78" s="144" t="s">
        <v>3</v>
      </c>
      <c r="O78" s="144"/>
      <c r="P78" s="144" t="s">
        <v>2</v>
      </c>
      <c r="Q78" s="144"/>
      <c r="R78" s="144" t="s">
        <v>3</v>
      </c>
      <c r="S78" s="144"/>
      <c r="T78" s="49"/>
      <c r="U78" s="320"/>
      <c r="V78" s="66"/>
      <c r="W78" s="66"/>
      <c r="X78" s="66"/>
      <c r="Y78" s="66"/>
      <c r="Z78" s="66"/>
      <c r="AA78" s="66"/>
      <c r="AB78" s="66"/>
      <c r="AC78" s="66"/>
    </row>
    <row r="79" spans="2:29" ht="15.6" x14ac:dyDescent="0.3">
      <c r="B79" s="46"/>
      <c r="C79" s="42"/>
      <c r="D79" s="49"/>
      <c r="E79" s="48"/>
      <c r="F79" s="49"/>
      <c r="G79" s="49"/>
      <c r="H79" s="49"/>
      <c r="I79" s="49"/>
      <c r="J79" s="49"/>
      <c r="K79" s="144" t="s">
        <v>429</v>
      </c>
      <c r="L79" s="144"/>
      <c r="M79" s="144" t="s">
        <v>430</v>
      </c>
      <c r="N79" s="49"/>
      <c r="O79" s="49"/>
      <c r="P79" s="144" t="s">
        <v>429</v>
      </c>
      <c r="Q79" s="144"/>
      <c r="R79" s="144" t="s">
        <v>430</v>
      </c>
      <c r="S79" s="144"/>
      <c r="T79" s="49"/>
      <c r="U79" s="320"/>
      <c r="V79" s="66"/>
      <c r="W79" s="66"/>
      <c r="X79" s="66"/>
      <c r="Y79" s="66"/>
      <c r="Z79" s="66"/>
      <c r="AA79" s="66"/>
      <c r="AB79" s="66"/>
      <c r="AC79" s="66"/>
    </row>
    <row r="80" spans="2:29" ht="15.6" x14ac:dyDescent="0.3">
      <c r="B80" s="46"/>
      <c r="C80" s="42"/>
      <c r="D80" s="49"/>
      <c r="E80" s="440" t="s">
        <v>32</v>
      </c>
      <c r="F80" s="440"/>
      <c r="G80" s="440"/>
      <c r="H80" s="440"/>
      <c r="I80" s="440"/>
      <c r="J80" s="144"/>
      <c r="K80" s="282"/>
      <c r="L80" s="327"/>
      <c r="M80" s="282"/>
      <c r="N80" s="240" t="s">
        <v>60</v>
      </c>
      <c r="O80" s="240"/>
      <c r="P80" s="268" t="e">
        <f>K80*($P$49-(-IF(K62&gt;0,K62,8)))</f>
        <v>#VALUE!</v>
      </c>
      <c r="Q80" s="264"/>
      <c r="R80" s="268" t="e">
        <f>M80*($R$49-(-IF(M62&gt;0,M62,930)))</f>
        <v>#VALUE!</v>
      </c>
      <c r="S80" s="240" t="s">
        <v>35</v>
      </c>
      <c r="T80" s="49"/>
      <c r="U80" s="320"/>
      <c r="V80" s="66"/>
      <c r="W80" s="66"/>
      <c r="X80" s="66"/>
      <c r="Y80" s="66"/>
      <c r="Z80" s="66"/>
      <c r="AA80" s="66"/>
      <c r="AB80" s="66"/>
      <c r="AC80" s="66"/>
    </row>
    <row r="81" spans="2:29" ht="15.6" x14ac:dyDescent="0.3">
      <c r="B81" s="46"/>
      <c r="C81" s="42"/>
      <c r="D81" s="49"/>
      <c r="E81" s="440" t="s">
        <v>481</v>
      </c>
      <c r="F81" s="440"/>
      <c r="G81" s="440"/>
      <c r="H81" s="440"/>
      <c r="I81" s="440"/>
      <c r="J81" s="144"/>
      <c r="K81" s="282"/>
      <c r="L81" s="327"/>
      <c r="M81" s="282"/>
      <c r="N81" s="240" t="s">
        <v>60</v>
      </c>
      <c r="O81" s="240"/>
      <c r="P81" s="268"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64"/>
      <c r="R81" s="268"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40" t="s">
        <v>35</v>
      </c>
      <c r="T81" s="49"/>
      <c r="U81" s="320"/>
      <c r="V81" s="66"/>
      <c r="W81" s="66"/>
      <c r="X81" s="66"/>
      <c r="Y81" s="66"/>
      <c r="Z81" s="66"/>
      <c r="AA81" s="66"/>
      <c r="AB81" s="66"/>
      <c r="AC81" s="66"/>
    </row>
    <row r="82" spans="2:29" ht="15.6" x14ac:dyDescent="0.3">
      <c r="B82" s="46"/>
      <c r="C82" s="42"/>
      <c r="D82" s="49"/>
      <c r="E82" s="440" t="s">
        <v>393</v>
      </c>
      <c r="F82" s="440"/>
      <c r="G82" s="440"/>
      <c r="H82" s="440"/>
      <c r="I82" s="440"/>
      <c r="J82" s="144"/>
      <c r="K82" s="282"/>
      <c r="L82" s="327"/>
      <c r="M82" s="282"/>
      <c r="N82" s="240" t="s">
        <v>60</v>
      </c>
      <c r="O82" s="240"/>
      <c r="P82" s="268" t="e">
        <f>K82*($P$49-'Data Tables'!O7)</f>
        <v>#VALUE!</v>
      </c>
      <c r="Q82" s="264"/>
      <c r="R82" s="268" t="e">
        <f>M82*($R$49-'Data Tables'!P7)</f>
        <v>#VALUE!</v>
      </c>
      <c r="S82" s="240" t="s">
        <v>35</v>
      </c>
      <c r="T82" s="49"/>
      <c r="U82" s="320"/>
      <c r="V82" s="66"/>
      <c r="W82" s="66"/>
      <c r="X82" s="66"/>
      <c r="Y82" s="66"/>
      <c r="Z82" s="66"/>
      <c r="AA82" s="66"/>
      <c r="AB82" s="66"/>
      <c r="AC82" s="66"/>
    </row>
    <row r="83" spans="2:29" ht="15.6" x14ac:dyDescent="0.3">
      <c r="B83" s="46"/>
      <c r="C83" s="42"/>
      <c r="D83" s="49"/>
      <c r="E83" s="440" t="s">
        <v>34</v>
      </c>
      <c r="F83" s="440"/>
      <c r="G83" s="440"/>
      <c r="H83" s="440"/>
      <c r="I83" s="440"/>
      <c r="J83" s="144"/>
      <c r="K83" s="282"/>
      <c r="L83" s="327"/>
      <c r="M83" s="282"/>
      <c r="N83" s="240" t="s">
        <v>60</v>
      </c>
      <c r="O83" s="240"/>
      <c r="P83" s="268" t="e">
        <f>K83*($P$49-'Data Tables'!O5)</f>
        <v>#VALUE!</v>
      </c>
      <c r="Q83" s="264"/>
      <c r="R83" s="268" t="e">
        <f>M83*($R$49-'Data Tables'!P5)</f>
        <v>#VALUE!</v>
      </c>
      <c r="S83" s="240" t="s">
        <v>35</v>
      </c>
      <c r="T83" s="49"/>
      <c r="U83" s="320"/>
      <c r="V83" s="66"/>
      <c r="W83" s="66"/>
      <c r="X83" s="66"/>
      <c r="Y83" s="66"/>
      <c r="Z83" s="66"/>
      <c r="AA83" s="66"/>
      <c r="AB83" s="66"/>
      <c r="AC83" s="66"/>
    </row>
    <row r="84" spans="2:29" ht="15.6" x14ac:dyDescent="0.3">
      <c r="B84" s="46"/>
      <c r="C84" s="42"/>
      <c r="D84" s="49"/>
      <c r="E84" s="440" t="s">
        <v>241</v>
      </c>
      <c r="F84" s="440"/>
      <c r="G84" s="440"/>
      <c r="H84" s="440"/>
      <c r="I84" s="440"/>
      <c r="J84" s="144"/>
      <c r="K84" s="282"/>
      <c r="L84" s="327"/>
      <c r="M84" s="282"/>
      <c r="N84" s="240" t="s">
        <v>60</v>
      </c>
      <c r="O84" s="240"/>
      <c r="P84" s="268" t="e">
        <f>K84*($P$49-'Data Tables'!O6)</f>
        <v>#VALUE!</v>
      </c>
      <c r="Q84" s="264"/>
      <c r="R84" s="268" t="e">
        <f>M84*($R$49-'Data Tables'!P6)</f>
        <v>#VALUE!</v>
      </c>
      <c r="S84" s="240" t="s">
        <v>35</v>
      </c>
      <c r="T84" s="49"/>
      <c r="U84" s="320"/>
      <c r="V84" s="66"/>
      <c r="W84" s="66"/>
      <c r="X84" s="66"/>
      <c r="Y84" s="66"/>
      <c r="Z84" s="66"/>
      <c r="AA84" s="66"/>
      <c r="AB84" s="66"/>
      <c r="AC84" s="66"/>
    </row>
    <row r="85" spans="2:29" ht="15.6" x14ac:dyDescent="0.3">
      <c r="B85" s="46"/>
      <c r="C85" s="42"/>
      <c r="D85" s="49"/>
      <c r="E85" s="440" t="s">
        <v>432</v>
      </c>
      <c r="F85" s="440"/>
      <c r="G85" s="440"/>
      <c r="H85" s="440"/>
      <c r="I85" s="440"/>
      <c r="J85" s="144"/>
      <c r="K85" s="282"/>
      <c r="L85" s="327"/>
      <c r="M85" s="282"/>
      <c r="N85" s="240" t="s">
        <v>60</v>
      </c>
      <c r="O85" s="240"/>
      <c r="P85" s="268" t="e">
        <f>K85*($P$49-'Data Tables'!O4)</f>
        <v>#VALUE!</v>
      </c>
      <c r="Q85" s="264"/>
      <c r="R85" s="268" t="e">
        <f>M85*($R$49-'Data Tables'!P4)</f>
        <v>#VALUE!</v>
      </c>
      <c r="S85" s="240" t="s">
        <v>35</v>
      </c>
      <c r="T85" s="49"/>
      <c r="U85" s="320"/>
      <c r="V85" s="66"/>
      <c r="W85" s="66"/>
      <c r="X85" s="66"/>
      <c r="Y85" s="66"/>
      <c r="Z85" s="66"/>
      <c r="AA85" s="66"/>
      <c r="AB85" s="66"/>
      <c r="AC85" s="66"/>
    </row>
    <row r="86" spans="2:29" ht="30" customHeight="1" x14ac:dyDescent="0.3">
      <c r="B86" s="46"/>
      <c r="C86" s="42"/>
      <c r="D86" s="49"/>
      <c r="E86" s="49"/>
      <c r="F86" s="49"/>
      <c r="G86" s="49"/>
      <c r="H86" s="49"/>
      <c r="I86" s="49"/>
      <c r="J86" s="49"/>
      <c r="K86" s="328"/>
      <c r="L86" s="328"/>
      <c r="M86" s="328"/>
      <c r="N86" s="240"/>
      <c r="O86" s="240"/>
      <c r="P86" s="240"/>
      <c r="Q86" s="240"/>
      <c r="R86" s="240"/>
      <c r="S86" s="240"/>
      <c r="T86" s="49"/>
      <c r="U86" s="320"/>
      <c r="V86" s="66"/>
      <c r="W86" s="66"/>
      <c r="X86" s="66"/>
      <c r="Y86" s="66"/>
      <c r="Z86" s="66"/>
      <c r="AA86" s="66"/>
      <c r="AB86" s="66"/>
      <c r="AC86" s="66"/>
    </row>
    <row r="87" spans="2:29" ht="29.55" customHeight="1" x14ac:dyDescent="0.3">
      <c r="B87" s="46"/>
      <c r="C87" s="42"/>
      <c r="D87" s="49"/>
      <c r="E87" s="49"/>
      <c r="F87" s="390" t="s">
        <v>63</v>
      </c>
      <c r="G87" s="390"/>
      <c r="H87" s="390"/>
      <c r="I87" s="390"/>
      <c r="J87" s="49"/>
      <c r="K87" s="290">
        <f>(SUM(K80:K85))</f>
        <v>0</v>
      </c>
      <c r="L87" s="326"/>
      <c r="M87" s="290">
        <f>(SUM(M80:M85))</f>
        <v>0</v>
      </c>
      <c r="N87" s="246" t="s">
        <v>60</v>
      </c>
      <c r="O87" s="246"/>
      <c r="P87" s="273" t="e">
        <f>K10-(SUM(P80:P85))</f>
        <v>#VALUE!</v>
      </c>
      <c r="Q87" s="269"/>
      <c r="R87" s="273" t="e">
        <f>K11-(SUM(R80:R85))</f>
        <v>#VALUE!</v>
      </c>
      <c r="S87" s="246" t="s">
        <v>15</v>
      </c>
      <c r="T87" s="49"/>
      <c r="U87" s="320"/>
      <c r="V87" s="66"/>
      <c r="W87" s="66"/>
      <c r="X87" s="66"/>
      <c r="Y87" s="66"/>
      <c r="Z87" s="66"/>
      <c r="AA87" s="66"/>
      <c r="AB87" s="66"/>
      <c r="AC87" s="66"/>
    </row>
    <row r="88" spans="2:29" ht="15" customHeight="1" x14ac:dyDescent="0.3">
      <c r="B88" s="46"/>
      <c r="C88" s="42"/>
      <c r="D88" s="49"/>
      <c r="E88" s="49"/>
      <c r="F88" s="49"/>
      <c r="G88" s="49"/>
      <c r="H88" s="49"/>
      <c r="I88" s="49"/>
      <c r="J88" s="49"/>
      <c r="K88" s="49"/>
      <c r="L88" s="49"/>
      <c r="M88" s="49"/>
      <c r="N88" s="49"/>
      <c r="O88" s="49"/>
      <c r="P88" s="49"/>
      <c r="Q88" s="49"/>
      <c r="R88" s="49"/>
      <c r="S88" s="49"/>
      <c r="T88" s="49"/>
      <c r="U88" s="320"/>
      <c r="V88" s="66"/>
      <c r="W88" s="66"/>
      <c r="X88" s="66"/>
      <c r="Y88" s="66"/>
      <c r="Z88" s="66"/>
      <c r="AA88" s="66"/>
      <c r="AB88" s="66"/>
      <c r="AC88" s="66"/>
    </row>
    <row r="89" spans="2:29" ht="51.6" customHeight="1" thickBot="1" x14ac:dyDescent="0.35">
      <c r="B89" s="50"/>
      <c r="C89" s="51"/>
      <c r="D89" s="318"/>
      <c r="E89" s="456" t="s">
        <v>436</v>
      </c>
      <c r="F89" s="456"/>
      <c r="G89" s="456"/>
      <c r="H89" s="456"/>
      <c r="I89" s="456"/>
      <c r="J89" s="456"/>
      <c r="K89" s="456"/>
      <c r="L89" s="456"/>
      <c r="M89" s="456"/>
      <c r="N89" s="456"/>
      <c r="O89" s="456"/>
      <c r="P89" s="456"/>
      <c r="Q89" s="456"/>
      <c r="R89" s="456"/>
      <c r="S89" s="456"/>
      <c r="T89" s="456"/>
      <c r="U89" s="329"/>
      <c r="V89" s="66"/>
      <c r="W89" s="66"/>
      <c r="X89" s="66"/>
      <c r="Y89" s="66"/>
      <c r="Z89" s="66"/>
      <c r="AA89" s="66"/>
      <c r="AB89" s="66"/>
      <c r="AC89" s="66"/>
    </row>
    <row r="90" spans="2:29" ht="18" customHeight="1" x14ac:dyDescent="0.3">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row>
    <row r="91" spans="2:29" x14ac:dyDescent="0.25"/>
    <row r="92" spans="2:29" x14ac:dyDescent="0.25"/>
    <row r="93" spans="2:29" x14ac:dyDescent="0.25"/>
    <row r="94" spans="2:29" x14ac:dyDescent="0.25"/>
    <row r="95" spans="2:29" x14ac:dyDescent="0.25"/>
    <row r="96" spans="2:29" x14ac:dyDescent="0.25"/>
    <row r="97" x14ac:dyDescent="0.25"/>
    <row r="98" x14ac:dyDescent="0.25"/>
  </sheetData>
  <sheetProtection algorithmName="SHA-512" hashValue="syRSTcWKG45ejoxtNJy1JyfypJuHc8UpXLhBLVOMYNsnu9NPYFlVYPiK+EFQBFkna0eUM6xrYx8992s0Nd//Bw==" saltValue="TbQegVbAnCFkPby0NarGVw==" spinCount="100000" sheet="1" insertRows="0" selectLockedCells="1"/>
  <mergeCells count="83">
    <mergeCell ref="F22:J22"/>
    <mergeCell ref="F3:T3"/>
    <mergeCell ref="E4:T6"/>
    <mergeCell ref="T32:X32"/>
    <mergeCell ref="T21:X21"/>
    <mergeCell ref="T22:X22"/>
    <mergeCell ref="T23:X23"/>
    <mergeCell ref="T24:X24"/>
    <mergeCell ref="T16:X16"/>
    <mergeCell ref="T18:Z18"/>
    <mergeCell ref="T19:Z19"/>
    <mergeCell ref="F20:J20"/>
    <mergeCell ref="R25:AC25"/>
    <mergeCell ref="T26:X26"/>
    <mergeCell ref="F52:J52"/>
    <mergeCell ref="E54:I54"/>
    <mergeCell ref="T46:X46"/>
    <mergeCell ref="T44:X44"/>
    <mergeCell ref="T34:X34"/>
    <mergeCell ref="T35:X35"/>
    <mergeCell ref="T41:X41"/>
    <mergeCell ref="T42:X42"/>
    <mergeCell ref="E37:I37"/>
    <mergeCell ref="E39:I39"/>
    <mergeCell ref="T37:X37"/>
    <mergeCell ref="T39:X39"/>
    <mergeCell ref="E43:I43"/>
    <mergeCell ref="T43:X43"/>
    <mergeCell ref="T40:X40"/>
    <mergeCell ref="T36:X36"/>
    <mergeCell ref="E55:I55"/>
    <mergeCell ref="F8:J8"/>
    <mergeCell ref="F14:J14"/>
    <mergeCell ref="E27:I27"/>
    <mergeCell ref="E28:I28"/>
    <mergeCell ref="E29:I29"/>
    <mergeCell ref="E30:I30"/>
    <mergeCell ref="E31:I31"/>
    <mergeCell ref="E18:O18"/>
    <mergeCell ref="E38:I38"/>
    <mergeCell ref="E40:I40"/>
    <mergeCell ref="E46:I46"/>
    <mergeCell ref="K16:M16"/>
    <mergeCell ref="I49:O49"/>
    <mergeCell ref="E44:I44"/>
    <mergeCell ref="F26:J26"/>
    <mergeCell ref="E80:I80"/>
    <mergeCell ref="E81:I81"/>
    <mergeCell ref="E67:I67"/>
    <mergeCell ref="E68:I68"/>
    <mergeCell ref="E69:I69"/>
    <mergeCell ref="E70:I70"/>
    <mergeCell ref="E71:I71"/>
    <mergeCell ref="E56:I56"/>
    <mergeCell ref="E57:I57"/>
    <mergeCell ref="E58:I58"/>
    <mergeCell ref="E59:I59"/>
    <mergeCell ref="E63:T63"/>
    <mergeCell ref="G62:J62"/>
    <mergeCell ref="F61:J61"/>
    <mergeCell ref="T38:X38"/>
    <mergeCell ref="T27:X27"/>
    <mergeCell ref="T28:X28"/>
    <mergeCell ref="T29:X29"/>
    <mergeCell ref="T30:X30"/>
    <mergeCell ref="T31:X31"/>
    <mergeCell ref="T33:X33"/>
    <mergeCell ref="E89:T89"/>
    <mergeCell ref="E76:T76"/>
    <mergeCell ref="E32:I32"/>
    <mergeCell ref="E33:I33"/>
    <mergeCell ref="E34:I34"/>
    <mergeCell ref="E35:I35"/>
    <mergeCell ref="E36:I36"/>
    <mergeCell ref="E41:I41"/>
    <mergeCell ref="E42:I42"/>
    <mergeCell ref="F87:I87"/>
    <mergeCell ref="E82:I82"/>
    <mergeCell ref="E83:I83"/>
    <mergeCell ref="E84:I84"/>
    <mergeCell ref="E85:I85"/>
    <mergeCell ref="E72:I72"/>
    <mergeCell ref="F74:I74"/>
  </mergeCells>
  <dataValidations count="4">
    <dataValidation type="list" allowBlank="1" showInputMessage="1" showErrorMessage="1" sqref="Y16 N22:N24 K16:L16 Y24 N27:N44 Y27:Y44" xr:uid="{E6DC8A56-E92E-46F6-BBF2-952F18BC3B2D}">
      <formula1>"Yes,No"</formula1>
    </dataValidation>
    <dataValidation type="list" allowBlank="1" showInputMessage="1" showErrorMessage="1" sqref="Y21" xr:uid="{E363D278-5B8A-4577-9882-82D958FBBE5D}">
      <formula1>"Wensum, Yare, Bure"</formula1>
    </dataValidation>
    <dataValidation type="list" allowBlank="1" showInputMessage="1" showErrorMessage="1" sqref="Y22" xr:uid="{2480826A-6731-4237-8754-C8F2BFE5DC89}">
      <formula1>"Freely draining, Impermeable - drained for arable, Impermeable - drained for arable and grassland"</formula1>
    </dataValidation>
    <dataValidation type="list" allowBlank="1" showInputMessage="1" showErrorMessage="1" sqref="Y23" xr:uid="{9EAD6338-C63C-42E9-8E55-D727E1317DF2}">
      <formula1>"550-575,575-600,600-625,625-650,650-675,675-700,700-750,750-800,800-850,850-900"</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38E8-23FB-4EF4-93D7-F20AF82EABDB}">
  <sheetPr>
    <tabColor theme="7" tint="0.79998168889431442"/>
    <pageSetUpPr fitToPage="1"/>
  </sheetPr>
  <dimension ref="A1:AM90"/>
  <sheetViews>
    <sheetView topLeftCell="A3" zoomScaleNormal="100" workbookViewId="0">
      <selection activeCell="M28" sqref="M28"/>
    </sheetView>
  </sheetViews>
  <sheetFormatPr defaultRowHeight="13.2" zeroHeight="1" x14ac:dyDescent="0.25"/>
  <cols>
    <col min="2" max="3" width="0.77734375" customWidth="1"/>
    <col min="4" max="4" width="2.21875" customWidth="1"/>
    <col min="5" max="5" width="10.77734375" customWidth="1"/>
    <col min="7" max="7" width="10" customWidth="1"/>
    <col min="8" max="8" width="10.21875" customWidth="1"/>
    <col min="9" max="9" width="14" customWidth="1"/>
    <col min="10" max="10" width="13.5546875" customWidth="1"/>
    <col min="11" max="11" width="10.44140625" customWidth="1"/>
    <col min="12" max="12" width="1.77734375" customWidth="1"/>
    <col min="13" max="13" width="9.21875" customWidth="1"/>
    <col min="14" max="14" width="13.77734375" customWidth="1"/>
    <col min="15" max="15" width="10.5546875" customWidth="1"/>
    <col min="16" max="16" width="2.21875" customWidth="1"/>
    <col min="17" max="17" width="10.21875" customWidth="1"/>
    <col min="18" max="18" width="5.44140625" customWidth="1"/>
    <col min="19" max="19" width="0.77734375" customWidth="1"/>
    <col min="20" max="20" width="12.21875" customWidth="1"/>
    <col min="22" max="22" width="25.5546875" customWidth="1"/>
    <col min="23" max="23" width="12.21875" customWidth="1"/>
    <col min="24" max="24" width="5.77734375" customWidth="1"/>
    <col min="25" max="25" width="0.109375" hidden="1" customWidth="1"/>
    <col min="26" max="26" width="1.77734375" customWidth="1"/>
    <col min="27" max="27" width="3.21875" customWidth="1"/>
    <col min="32" max="32" width="8.77734375" customWidth="1"/>
  </cols>
  <sheetData>
    <row r="1" spans="1:27" ht="10.050000000000001" customHeight="1" thickBot="1" x14ac:dyDescent="0.35">
      <c r="A1" s="78" t="s">
        <v>549</v>
      </c>
    </row>
    <row r="2" spans="1:27" ht="9" customHeight="1" x14ac:dyDescent="0.3">
      <c r="B2" s="43"/>
      <c r="C2" s="44"/>
      <c r="D2" s="44"/>
      <c r="E2" s="44"/>
      <c r="F2" s="44"/>
      <c r="G2" s="44"/>
      <c r="H2" s="44"/>
      <c r="I2" s="44"/>
      <c r="J2" s="44"/>
      <c r="K2" s="44"/>
      <c r="L2" s="44"/>
      <c r="M2" s="44"/>
      <c r="N2" s="44"/>
      <c r="O2" s="44"/>
      <c r="P2" s="44"/>
      <c r="Q2" s="44"/>
      <c r="R2" s="44"/>
      <c r="S2" s="45"/>
      <c r="T2" s="40"/>
      <c r="U2" s="40"/>
      <c r="V2" s="40"/>
      <c r="W2" s="40"/>
      <c r="X2" s="40"/>
      <c r="Y2" s="40"/>
      <c r="Z2" s="40"/>
      <c r="AA2" s="40"/>
    </row>
    <row r="3" spans="1:27" ht="28.5" customHeight="1" x14ac:dyDescent="0.3">
      <c r="B3" s="46"/>
      <c r="C3" s="229"/>
      <c r="D3" s="278"/>
      <c r="E3" s="197" t="s">
        <v>549</v>
      </c>
      <c r="F3" s="441" t="s">
        <v>426</v>
      </c>
      <c r="G3" s="441"/>
      <c r="H3" s="441"/>
      <c r="I3" s="441"/>
      <c r="J3" s="441"/>
      <c r="K3" s="441"/>
      <c r="L3" s="441"/>
      <c r="M3" s="441"/>
      <c r="N3" s="441"/>
      <c r="O3" s="441"/>
      <c r="P3" s="441"/>
      <c r="Q3" s="441"/>
      <c r="R3" s="441"/>
      <c r="S3" s="235"/>
      <c r="T3" s="229"/>
      <c r="U3" s="229"/>
      <c r="V3" s="229"/>
      <c r="W3" s="229"/>
      <c r="X3" s="229"/>
      <c r="Y3" s="229"/>
      <c r="Z3" s="229"/>
      <c r="AA3" s="229"/>
    </row>
    <row r="4" spans="1:27" ht="6.75" customHeight="1" x14ac:dyDescent="0.3">
      <c r="B4" s="46"/>
      <c r="C4" s="279"/>
      <c r="D4" s="279"/>
      <c r="E4" s="436" t="s">
        <v>591</v>
      </c>
      <c r="F4" s="436"/>
      <c r="G4" s="436"/>
      <c r="H4" s="436"/>
      <c r="I4" s="436"/>
      <c r="J4" s="436"/>
      <c r="K4" s="436"/>
      <c r="L4" s="436"/>
      <c r="M4" s="436"/>
      <c r="N4" s="436"/>
      <c r="O4" s="436"/>
      <c r="P4" s="436"/>
      <c r="Q4" s="436"/>
      <c r="R4" s="436"/>
      <c r="S4" s="235"/>
      <c r="T4" s="229"/>
      <c r="U4" s="229"/>
      <c r="V4" s="229"/>
      <c r="W4" s="229"/>
      <c r="X4" s="229"/>
      <c r="Y4" s="229"/>
      <c r="Z4" s="229"/>
      <c r="AA4" s="229"/>
    </row>
    <row r="5" spans="1:27" ht="6.75" customHeight="1" x14ac:dyDescent="0.3">
      <c r="B5" s="46"/>
      <c r="C5" s="279"/>
      <c r="D5" s="279"/>
      <c r="E5" s="436"/>
      <c r="F5" s="436"/>
      <c r="G5" s="436"/>
      <c r="H5" s="436"/>
      <c r="I5" s="436"/>
      <c r="J5" s="436"/>
      <c r="K5" s="436"/>
      <c r="L5" s="436"/>
      <c r="M5" s="436"/>
      <c r="N5" s="436"/>
      <c r="O5" s="436"/>
      <c r="P5" s="436"/>
      <c r="Q5" s="436"/>
      <c r="R5" s="436"/>
      <c r="S5" s="235"/>
      <c r="T5" s="229"/>
      <c r="U5" s="229"/>
      <c r="V5" s="229"/>
      <c r="W5" s="229"/>
      <c r="X5" s="229"/>
      <c r="Y5" s="229"/>
      <c r="Z5" s="229"/>
      <c r="AA5" s="229"/>
    </row>
    <row r="6" spans="1:27" ht="24.75" customHeight="1" x14ac:dyDescent="0.3">
      <c r="B6" s="46"/>
      <c r="C6" s="227"/>
      <c r="D6" s="227"/>
      <c r="E6" s="436"/>
      <c r="F6" s="436"/>
      <c r="G6" s="436"/>
      <c r="H6" s="436"/>
      <c r="I6" s="436"/>
      <c r="J6" s="436"/>
      <c r="K6" s="436"/>
      <c r="L6" s="436"/>
      <c r="M6" s="436"/>
      <c r="N6" s="436"/>
      <c r="O6" s="436"/>
      <c r="P6" s="436"/>
      <c r="Q6" s="436"/>
      <c r="R6" s="436"/>
      <c r="S6" s="235"/>
      <c r="T6" s="229"/>
      <c r="U6" s="229"/>
      <c r="V6" s="229"/>
      <c r="W6" s="229"/>
      <c r="X6" s="229"/>
      <c r="Y6" s="229"/>
      <c r="Z6" s="229"/>
      <c r="AA6" s="229"/>
    </row>
    <row r="7" spans="1:27" ht="21" customHeight="1" x14ac:dyDescent="0.3">
      <c r="B7" s="46"/>
      <c r="C7" s="227"/>
      <c r="D7" s="272"/>
      <c r="E7" s="280"/>
      <c r="F7" s="280"/>
      <c r="G7" s="280"/>
      <c r="H7" s="280"/>
      <c r="I7" s="280"/>
      <c r="J7" s="280"/>
      <c r="K7" s="280"/>
      <c r="L7" s="280"/>
      <c r="M7" s="280"/>
      <c r="N7" s="280"/>
      <c r="O7" s="280"/>
      <c r="P7" s="280"/>
      <c r="Q7" s="280"/>
      <c r="R7" s="280"/>
      <c r="S7" s="235"/>
      <c r="T7" s="229"/>
      <c r="U7" s="229"/>
      <c r="V7" s="229"/>
      <c r="W7" s="229"/>
      <c r="X7" s="229"/>
      <c r="Y7" s="229"/>
      <c r="Z7" s="229"/>
      <c r="AA7" s="229"/>
    </row>
    <row r="8" spans="1:27" ht="37.5" customHeight="1" x14ac:dyDescent="0.3">
      <c r="B8" s="46"/>
      <c r="C8" s="227"/>
      <c r="D8" s="227"/>
      <c r="E8" s="48" t="s">
        <v>5</v>
      </c>
      <c r="F8" s="375" t="s">
        <v>498</v>
      </c>
      <c r="G8" s="375"/>
      <c r="H8" s="375"/>
      <c r="I8" s="375"/>
      <c r="J8" s="375"/>
      <c r="K8" s="144" t="s">
        <v>2</v>
      </c>
      <c r="L8" s="144"/>
      <c r="M8" s="144" t="s">
        <v>3</v>
      </c>
      <c r="N8" s="144"/>
      <c r="O8" s="144"/>
      <c r="P8" s="144"/>
      <c r="Q8" s="144"/>
      <c r="R8" s="49"/>
      <c r="S8" s="235"/>
      <c r="T8" s="229"/>
      <c r="U8" s="229"/>
      <c r="V8" s="229"/>
      <c r="W8" s="229"/>
      <c r="X8" s="229"/>
      <c r="Y8" s="229"/>
      <c r="Z8" s="229"/>
      <c r="AA8" s="229"/>
    </row>
    <row r="9" spans="1:27" ht="7.5" customHeight="1" x14ac:dyDescent="0.3">
      <c r="B9" s="46"/>
      <c r="C9" s="227"/>
      <c r="D9" s="227"/>
      <c r="E9" s="49"/>
      <c r="F9" s="49"/>
      <c r="G9" s="49"/>
      <c r="H9" s="49"/>
      <c r="I9" s="49"/>
      <c r="J9" s="49"/>
      <c r="K9" s="49"/>
      <c r="L9" s="49"/>
      <c r="M9" s="49"/>
      <c r="N9" s="49"/>
      <c r="O9" s="49"/>
      <c r="P9" s="49"/>
      <c r="Q9" s="49"/>
      <c r="R9" s="49"/>
      <c r="S9" s="235"/>
      <c r="T9" s="229"/>
      <c r="U9" s="229"/>
      <c r="V9" s="229"/>
      <c r="W9" s="229"/>
      <c r="X9" s="229"/>
      <c r="Y9" s="229"/>
      <c r="Z9" s="229"/>
      <c r="AA9" s="229"/>
    </row>
    <row r="10" spans="1:27" ht="31.05" customHeight="1" x14ac:dyDescent="0.3">
      <c r="B10" s="46"/>
      <c r="C10" s="227"/>
      <c r="D10" s="227"/>
      <c r="E10" s="49"/>
      <c r="F10" s="38" t="s">
        <v>428</v>
      </c>
      <c r="G10" s="49"/>
      <c r="H10" s="49"/>
      <c r="I10" s="49"/>
      <c r="J10" s="49"/>
      <c r="K10" s="273" t="str">
        <f>IF('Stage 4'!M43&gt;0,'Stage 4'!M43,0)</f>
        <v/>
      </c>
      <c r="L10" s="269"/>
      <c r="M10" s="246" t="s">
        <v>15</v>
      </c>
      <c r="N10" s="246"/>
      <c r="O10" s="246"/>
      <c r="P10" s="246"/>
      <c r="Q10" s="246"/>
      <c r="R10" s="49"/>
      <c r="S10" s="235"/>
      <c r="T10" s="229"/>
      <c r="U10" s="229"/>
      <c r="V10" s="229"/>
      <c r="W10" s="229"/>
      <c r="X10" s="229"/>
      <c r="Y10" s="229"/>
      <c r="Z10" s="229"/>
      <c r="AA10" s="229"/>
    </row>
    <row r="11" spans="1:27" ht="17.55" customHeight="1" thickBot="1" x14ac:dyDescent="0.35">
      <c r="B11" s="46"/>
      <c r="C11" s="227"/>
      <c r="D11" s="227"/>
      <c r="E11" s="49"/>
      <c r="F11" s="49"/>
      <c r="G11" s="49"/>
      <c r="H11" s="49"/>
      <c r="I11" s="49"/>
      <c r="J11" s="49"/>
      <c r="K11" s="49"/>
      <c r="L11" s="49"/>
      <c r="M11" s="49"/>
      <c r="N11" s="49"/>
      <c r="O11" s="49"/>
      <c r="P11" s="49"/>
      <c r="Q11" s="247"/>
      <c r="R11" s="247"/>
      <c r="S11" s="235"/>
      <c r="T11" s="311"/>
      <c r="U11" s="252"/>
      <c r="V11" s="252"/>
      <c r="W11" s="252"/>
      <c r="X11" s="252"/>
      <c r="Y11" s="252"/>
      <c r="Z11" s="252"/>
      <c r="AA11" s="252"/>
    </row>
    <row r="12" spans="1:27" ht="7.05" customHeight="1" x14ac:dyDescent="0.3">
      <c r="B12" s="46"/>
      <c r="C12" s="227"/>
      <c r="D12" s="272"/>
      <c r="E12" s="259"/>
      <c r="F12" s="259"/>
      <c r="G12" s="259"/>
      <c r="H12" s="259"/>
      <c r="I12" s="259"/>
      <c r="J12" s="259"/>
      <c r="K12" s="259"/>
      <c r="L12" s="259"/>
      <c r="M12" s="259"/>
      <c r="N12" s="259"/>
      <c r="O12" s="259"/>
      <c r="P12" s="259"/>
      <c r="Q12" s="49"/>
      <c r="R12" s="49"/>
      <c r="S12" s="227"/>
      <c r="T12" s="227"/>
      <c r="U12" s="227"/>
      <c r="V12" s="227"/>
      <c r="W12" s="227"/>
      <c r="X12" s="227"/>
      <c r="Y12" s="227"/>
      <c r="Z12" s="227"/>
      <c r="AA12" s="312"/>
    </row>
    <row r="13" spans="1:27" ht="16.05" customHeight="1" x14ac:dyDescent="0.3">
      <c r="B13" s="46"/>
      <c r="C13" s="227"/>
      <c r="D13" s="227"/>
      <c r="E13" s="48" t="s">
        <v>8</v>
      </c>
      <c r="F13" s="375" t="s">
        <v>64</v>
      </c>
      <c r="G13" s="375"/>
      <c r="H13" s="375"/>
      <c r="I13" s="375"/>
      <c r="J13" s="375"/>
      <c r="K13" s="49"/>
      <c r="L13" s="49"/>
      <c r="M13" s="49"/>
      <c r="N13" s="49"/>
      <c r="O13" s="49"/>
      <c r="P13" s="49"/>
      <c r="Q13" s="49"/>
      <c r="R13" s="49"/>
      <c r="S13" s="49"/>
      <c r="T13" s="49"/>
      <c r="U13" s="49"/>
      <c r="V13" s="49"/>
      <c r="W13" s="49"/>
      <c r="X13" s="49"/>
      <c r="Y13" s="49"/>
      <c r="Z13" s="49"/>
      <c r="AA13" s="313"/>
    </row>
    <row r="14" spans="1:27" ht="10.5" customHeight="1" x14ac:dyDescent="0.3">
      <c r="B14" s="46"/>
      <c r="C14" s="227"/>
      <c r="D14" s="227"/>
      <c r="E14" s="49"/>
      <c r="F14" s="49"/>
      <c r="G14" s="49"/>
      <c r="H14" s="49"/>
      <c r="I14" s="49"/>
      <c r="J14" s="49"/>
      <c r="K14" s="49"/>
      <c r="L14" s="49"/>
      <c r="M14" s="49"/>
      <c r="N14" s="49"/>
      <c r="O14" s="258"/>
      <c r="P14" s="49"/>
      <c r="Q14" s="49"/>
      <c r="R14" s="49"/>
      <c r="S14" s="49"/>
      <c r="T14" s="49"/>
      <c r="U14" s="49"/>
      <c r="V14" s="49"/>
      <c r="W14" s="66"/>
      <c r="X14" s="49"/>
      <c r="Y14" s="49"/>
      <c r="Z14" s="49"/>
      <c r="AA14" s="313"/>
    </row>
    <row r="15" spans="1:27" ht="14.55" customHeight="1" x14ac:dyDescent="0.3">
      <c r="B15" s="46"/>
      <c r="C15" s="227"/>
      <c r="D15" s="227"/>
      <c r="E15" s="66" t="s">
        <v>57</v>
      </c>
      <c r="F15" s="49" t="s">
        <v>79</v>
      </c>
      <c r="G15" s="49"/>
      <c r="H15" s="49"/>
      <c r="I15" s="49"/>
      <c r="J15" s="49"/>
      <c r="K15" s="458" t="s">
        <v>61</v>
      </c>
      <c r="L15" s="458"/>
      <c r="M15" s="66"/>
      <c r="N15" s="49"/>
      <c r="O15" s="258"/>
      <c r="P15" s="49"/>
      <c r="Q15" s="67"/>
      <c r="R15" s="375" t="s">
        <v>80</v>
      </c>
      <c r="S15" s="375"/>
      <c r="T15" s="375"/>
      <c r="U15" s="375"/>
      <c r="V15" s="375"/>
      <c r="W15" s="238" t="s">
        <v>61</v>
      </c>
      <c r="X15" s="49"/>
      <c r="Y15" s="49"/>
      <c r="Z15" s="49"/>
      <c r="AA15" s="313"/>
    </row>
    <row r="16" spans="1:27" ht="14.55" customHeight="1" x14ac:dyDescent="0.3">
      <c r="B16" s="46"/>
      <c r="C16" s="227"/>
      <c r="D16" s="227"/>
      <c r="E16" s="49"/>
      <c r="F16" s="49"/>
      <c r="G16" s="49"/>
      <c r="H16" s="49"/>
      <c r="I16" s="49"/>
      <c r="J16" s="49"/>
      <c r="K16" s="49"/>
      <c r="L16" s="49"/>
      <c r="M16" s="49"/>
      <c r="N16" s="49"/>
      <c r="O16" s="258"/>
      <c r="P16" s="49"/>
      <c r="Q16" s="49"/>
      <c r="R16" s="49"/>
      <c r="S16" s="49"/>
      <c r="T16" s="49"/>
      <c r="U16" s="49"/>
      <c r="V16" s="49"/>
      <c r="W16" s="49"/>
      <c r="X16" s="49"/>
      <c r="Y16" s="49"/>
      <c r="Z16" s="49"/>
      <c r="AA16" s="313"/>
    </row>
    <row r="17" spans="2:39" ht="61.5" customHeight="1" x14ac:dyDescent="0.3">
      <c r="B17" s="46"/>
      <c r="C17" s="227"/>
      <c r="D17" s="227"/>
      <c r="E17" s="457" t="s">
        <v>88</v>
      </c>
      <c r="F17" s="457"/>
      <c r="G17" s="457"/>
      <c r="H17" s="457"/>
      <c r="I17" s="457"/>
      <c r="J17" s="457"/>
      <c r="K17" s="457"/>
      <c r="L17" s="457"/>
      <c r="M17" s="457"/>
      <c r="N17" s="457"/>
      <c r="O17" s="258"/>
      <c r="P17" s="49"/>
      <c r="Q17" s="49"/>
      <c r="R17" s="457" t="s">
        <v>85</v>
      </c>
      <c r="S17" s="457"/>
      <c r="T17" s="457"/>
      <c r="U17" s="457"/>
      <c r="V17" s="457"/>
      <c r="W17" s="457"/>
      <c r="X17" s="457"/>
      <c r="Y17" s="314"/>
      <c r="Z17" s="314"/>
      <c r="AA17" s="313"/>
    </row>
    <row r="18" spans="2:39" ht="14.55" customHeight="1" x14ac:dyDescent="0.3">
      <c r="B18" s="46"/>
      <c r="C18" s="227"/>
      <c r="D18" s="227"/>
      <c r="E18" s="49"/>
      <c r="F18" s="49"/>
      <c r="G18" s="49"/>
      <c r="H18" s="49"/>
      <c r="I18" s="49"/>
      <c r="J18" s="49"/>
      <c r="K18" s="49"/>
      <c r="L18" s="49"/>
      <c r="M18" s="49"/>
      <c r="N18" s="49"/>
      <c r="O18" s="258"/>
      <c r="P18" s="49"/>
      <c r="Q18" s="49"/>
      <c r="R18" s="375" t="s">
        <v>84</v>
      </c>
      <c r="S18" s="375"/>
      <c r="T18" s="375"/>
      <c r="U18" s="375"/>
      <c r="V18" s="375"/>
      <c r="W18" s="375"/>
      <c r="X18" s="375"/>
      <c r="Y18" s="49"/>
      <c r="Z18" s="49"/>
      <c r="AA18" s="313"/>
    </row>
    <row r="19" spans="2:39" ht="16.05" customHeight="1" x14ac:dyDescent="0.3">
      <c r="B19" s="46"/>
      <c r="C19" s="227"/>
      <c r="D19" s="227"/>
      <c r="E19" s="66"/>
      <c r="F19" s="375" t="s">
        <v>134</v>
      </c>
      <c r="G19" s="375"/>
      <c r="H19" s="375"/>
      <c r="I19" s="375"/>
      <c r="J19" s="375"/>
      <c r="K19" s="144" t="s">
        <v>2</v>
      </c>
      <c r="L19" s="144"/>
      <c r="M19" s="66"/>
      <c r="N19" s="144" t="s">
        <v>3</v>
      </c>
      <c r="O19" s="258"/>
      <c r="P19" s="49"/>
      <c r="Q19" s="49"/>
      <c r="R19" s="226"/>
      <c r="S19" s="226"/>
      <c r="T19" s="226"/>
      <c r="U19" s="226"/>
      <c r="V19" s="226"/>
      <c r="W19" s="226"/>
      <c r="X19" s="226"/>
      <c r="Y19" s="142"/>
      <c r="Z19" s="142"/>
      <c r="AA19" s="313"/>
    </row>
    <row r="20" spans="2:39" ht="13.5" customHeight="1" x14ac:dyDescent="0.3">
      <c r="B20" s="46"/>
      <c r="C20" s="227"/>
      <c r="D20" s="227"/>
      <c r="E20" s="49"/>
      <c r="F20" s="49"/>
      <c r="G20" s="49"/>
      <c r="H20" s="49"/>
      <c r="I20" s="49"/>
      <c r="J20" s="49"/>
      <c r="K20" s="144" t="s">
        <v>429</v>
      </c>
      <c r="L20" s="49"/>
      <c r="M20" s="49"/>
      <c r="N20" s="49"/>
      <c r="O20" s="258"/>
      <c r="P20" s="49"/>
      <c r="Q20" s="49"/>
      <c r="R20" s="375" t="s">
        <v>373</v>
      </c>
      <c r="S20" s="375"/>
      <c r="T20" s="375"/>
      <c r="U20" s="375"/>
      <c r="V20" s="375"/>
      <c r="W20" s="238" t="s">
        <v>378</v>
      </c>
      <c r="X20" s="49"/>
      <c r="Y20" s="49"/>
      <c r="Z20" s="49"/>
      <c r="AA20" s="313"/>
    </row>
    <row r="21" spans="2:39" ht="41.1" customHeight="1" x14ac:dyDescent="0.3">
      <c r="B21" s="46"/>
      <c r="C21" s="227"/>
      <c r="D21" s="227"/>
      <c r="E21" s="49"/>
      <c r="F21" s="390" t="s">
        <v>82</v>
      </c>
      <c r="G21" s="390"/>
      <c r="H21" s="390"/>
      <c r="I21" s="390"/>
      <c r="J21" s="390"/>
      <c r="K21" s="273" t="e">
        <f>'Stage 2'!K46/'Stage 2'!K41</f>
        <v>#DIV/0!</v>
      </c>
      <c r="L21" s="269"/>
      <c r="M21" s="238" t="s">
        <v>61</v>
      </c>
      <c r="N21" s="246" t="s">
        <v>78</v>
      </c>
      <c r="O21" s="258"/>
      <c r="P21" s="49"/>
      <c r="Q21" s="48"/>
      <c r="R21" s="375" t="s">
        <v>372</v>
      </c>
      <c r="S21" s="375"/>
      <c r="T21" s="375"/>
      <c r="U21" s="375"/>
      <c r="V21" s="375"/>
      <c r="W21" s="257" t="s">
        <v>377</v>
      </c>
      <c r="X21" s="49"/>
      <c r="Y21" s="142"/>
      <c r="Z21" s="142"/>
      <c r="AA21" s="313"/>
    </row>
    <row r="22" spans="2:39" ht="16.05" customHeight="1" x14ac:dyDescent="0.3">
      <c r="B22" s="46"/>
      <c r="C22" s="227"/>
      <c r="D22" s="227"/>
      <c r="E22" s="49"/>
      <c r="F22" s="146"/>
      <c r="G22" s="146"/>
      <c r="H22" s="146"/>
      <c r="I22" s="146"/>
      <c r="J22" s="146"/>
      <c r="K22" s="269"/>
      <c r="L22" s="269"/>
      <c r="M22" s="239"/>
      <c r="N22" s="246"/>
      <c r="O22" s="258"/>
      <c r="P22" s="49"/>
      <c r="Q22" s="48"/>
      <c r="R22" s="375" t="s">
        <v>376</v>
      </c>
      <c r="S22" s="375"/>
      <c r="T22" s="375"/>
      <c r="U22" s="375"/>
      <c r="V22" s="375"/>
      <c r="W22" s="238" t="s">
        <v>477</v>
      </c>
      <c r="X22" s="142"/>
      <c r="Y22" s="142"/>
      <c r="Z22" s="142"/>
      <c r="AA22" s="313"/>
    </row>
    <row r="23" spans="2:39" ht="16.05" customHeight="1" x14ac:dyDescent="0.3">
      <c r="B23" s="46"/>
      <c r="C23" s="227"/>
      <c r="D23" s="227"/>
      <c r="E23" s="49"/>
      <c r="F23" s="146"/>
      <c r="G23" s="146"/>
      <c r="H23" s="146"/>
      <c r="I23" s="146"/>
      <c r="J23" s="146"/>
      <c r="K23" s="269"/>
      <c r="L23" s="269"/>
      <c r="M23" s="239"/>
      <c r="N23" s="246"/>
      <c r="O23" s="258"/>
      <c r="P23" s="49"/>
      <c r="Q23" s="48"/>
      <c r="R23" s="375" t="s">
        <v>374</v>
      </c>
      <c r="S23" s="375"/>
      <c r="T23" s="375"/>
      <c r="U23" s="375"/>
      <c r="V23" s="375"/>
      <c r="W23" s="238" t="s">
        <v>13</v>
      </c>
      <c r="X23" s="142"/>
      <c r="Y23" s="142"/>
      <c r="Z23" s="142"/>
      <c r="AA23" s="313"/>
    </row>
    <row r="24" spans="2:39" ht="36.6" customHeight="1" x14ac:dyDescent="0.3">
      <c r="B24" s="46"/>
      <c r="C24" s="227"/>
      <c r="D24" s="227"/>
      <c r="E24" s="49"/>
      <c r="F24" s="38"/>
      <c r="G24" s="49"/>
      <c r="H24" s="49"/>
      <c r="I24" s="49"/>
      <c r="J24" s="49"/>
      <c r="K24" s="269"/>
      <c r="L24" s="269"/>
      <c r="M24" s="144"/>
      <c r="N24" s="246"/>
      <c r="O24" s="258"/>
      <c r="P24" s="49"/>
      <c r="Q24" s="459"/>
      <c r="R24" s="459"/>
      <c r="S24" s="459"/>
      <c r="T24" s="459"/>
      <c r="U24" s="459"/>
      <c r="V24" s="459"/>
      <c r="W24" s="459"/>
      <c r="X24" s="459"/>
      <c r="Y24" s="459"/>
      <c r="Z24" s="459"/>
      <c r="AA24" s="460"/>
    </row>
    <row r="25" spans="2:39" ht="24" customHeight="1" x14ac:dyDescent="0.3">
      <c r="B25" s="46"/>
      <c r="C25" s="227"/>
      <c r="D25" s="227"/>
      <c r="E25" s="49"/>
      <c r="F25" s="390" t="s">
        <v>81</v>
      </c>
      <c r="G25" s="390"/>
      <c r="H25" s="390"/>
      <c r="I25" s="390"/>
      <c r="J25" s="390"/>
      <c r="K25" s="144" t="s">
        <v>429</v>
      </c>
      <c r="L25" s="49"/>
      <c r="M25" s="49"/>
      <c r="N25" s="246"/>
      <c r="O25" s="258"/>
      <c r="P25" s="49"/>
      <c r="Q25" s="49"/>
      <c r="R25" s="390" t="s">
        <v>83</v>
      </c>
      <c r="S25" s="390"/>
      <c r="T25" s="390"/>
      <c r="U25" s="390"/>
      <c r="V25" s="390"/>
      <c r="W25" s="49"/>
      <c r="X25" s="49"/>
      <c r="Y25" s="281" t="s">
        <v>389</v>
      </c>
      <c r="Z25" s="281"/>
      <c r="AA25" s="313"/>
    </row>
    <row r="26" spans="2:39" ht="16.05" customHeight="1" x14ac:dyDescent="0.3">
      <c r="B26" s="46"/>
      <c r="C26" s="227"/>
      <c r="D26" s="227"/>
      <c r="E26" s="440" t="str">
        <f>'Stage 2'!F22</f>
        <v>High density residential</v>
      </c>
      <c r="F26" s="440"/>
      <c r="G26" s="440"/>
      <c r="H26" s="440"/>
      <c r="I26" s="440"/>
      <c r="J26" s="49"/>
      <c r="K26" s="315" t="str">
        <f>IF('Stage 2'!$K22&gt;0,'Stage 2'!O22/'Stage 2'!$K22,"")</f>
        <v/>
      </c>
      <c r="L26" s="269"/>
      <c r="M26" s="238" t="s">
        <v>61</v>
      </c>
      <c r="N26" s="240" t="s">
        <v>78</v>
      </c>
      <c r="O26" s="258"/>
      <c r="P26" s="49"/>
      <c r="Q26" s="49"/>
      <c r="R26" s="440" t="str">
        <f t="shared" ref="R26:R43" si="0">E26</f>
        <v>High density residential</v>
      </c>
      <c r="S26" s="440"/>
      <c r="T26" s="440"/>
      <c r="U26" s="440"/>
      <c r="V26" s="440"/>
      <c r="W26" s="238" t="s">
        <v>61</v>
      </c>
      <c r="X26" s="49"/>
      <c r="Y26" s="283" t="str">
        <f>IF($W$15="Yes",IF($W26="Yes",IF($W$22="550-575",'Data Tables'!AC39,IF($W$22="575-600",'Data Tables'!AC40,IF($W$22="600-625",'Data Tables'!AC41,IF($W$22="625-650",'Data Tables'!AC42,IF($W$22="650-675",'Data Tables'!AC43,IF($W$22="675-700",'Data Tables'!AC44,IF($W$22="700-750",'Data Tables'!AC45,IF($W$22="750-800",'Data Tables'!AC46,IF($W$22="800-850",'Data Tables'!AC47,'Data Tables'!AC48))))))))),0),"")</f>
        <v/>
      </c>
      <c r="Z26" s="328"/>
      <c r="AA26" s="313"/>
      <c r="AE26" s="114"/>
      <c r="AG26" s="114"/>
      <c r="AI26" s="114"/>
      <c r="AK26" s="114"/>
      <c r="AM26" s="114"/>
    </row>
    <row r="27" spans="2:39" ht="16.05" customHeight="1" x14ac:dyDescent="0.3">
      <c r="B27" s="46"/>
      <c r="C27" s="227"/>
      <c r="D27" s="227"/>
      <c r="E27" s="440" t="str">
        <f>'Stage 2'!F23</f>
        <v>Medium density residential</v>
      </c>
      <c r="F27" s="440"/>
      <c r="G27" s="440"/>
      <c r="H27" s="440"/>
      <c r="I27" s="440"/>
      <c r="J27" s="49"/>
      <c r="K27" s="315" t="str">
        <f>IF('Stage 2'!$K23&gt;0,'Stage 2'!O23/'Stage 2'!$K23,"")</f>
        <v/>
      </c>
      <c r="L27" s="269"/>
      <c r="M27" s="238" t="s">
        <v>61</v>
      </c>
      <c r="N27" s="240" t="s">
        <v>78</v>
      </c>
      <c r="O27" s="258"/>
      <c r="P27" s="49"/>
      <c r="Q27" s="49"/>
      <c r="R27" s="440" t="str">
        <f t="shared" si="0"/>
        <v>Medium density residential</v>
      </c>
      <c r="S27" s="440"/>
      <c r="T27" s="440"/>
      <c r="U27" s="440"/>
      <c r="V27" s="440"/>
      <c r="W27" s="238" t="s">
        <v>61</v>
      </c>
      <c r="X27" s="49"/>
      <c r="Y27" s="283" t="str">
        <f>IF($W$15="Yes",IF($W27="Yes",IF($W$22="550-575",'Data Tables'!AE39,IF($W$22="575-600",'Data Tables'!AE40,IF($W$22="600-625",'Data Tables'!AE41,IF($W$22="625-650",'Data Tables'!AE42,IF($W$22="650-675",'Data Tables'!AE43,IF($W$22="675-700",'Data Tables'!AE44,IF($W$22="700-750",'Data Tables'!AE45,IF($W$22="750-800",'Data Tables'!AE46,IF($W$22="800-850",'Data Tables'!AE47,'Data Tables'!AE48))))))))),0),"")</f>
        <v/>
      </c>
      <c r="Z27" s="328"/>
      <c r="AA27" s="313"/>
    </row>
    <row r="28" spans="2:39" ht="16.05" customHeight="1" x14ac:dyDescent="0.3">
      <c r="B28" s="46"/>
      <c r="C28" s="227"/>
      <c r="D28" s="227"/>
      <c r="E28" s="440" t="str">
        <f>'Stage 2'!F24</f>
        <v>Low density residential</v>
      </c>
      <c r="F28" s="440"/>
      <c r="G28" s="440"/>
      <c r="H28" s="440"/>
      <c r="I28" s="440"/>
      <c r="J28" s="49"/>
      <c r="K28" s="315" t="str">
        <f>IF('Stage 2'!$K24&gt;0,'Stage 2'!O24/'Stage 2'!$K24,"")</f>
        <v/>
      </c>
      <c r="L28" s="269"/>
      <c r="M28" s="238" t="s">
        <v>61</v>
      </c>
      <c r="N28" s="240" t="s">
        <v>78</v>
      </c>
      <c r="O28" s="258"/>
      <c r="P28" s="49"/>
      <c r="Q28" s="49"/>
      <c r="R28" s="440" t="str">
        <f t="shared" si="0"/>
        <v>Low density residential</v>
      </c>
      <c r="S28" s="440"/>
      <c r="T28" s="440"/>
      <c r="U28" s="440"/>
      <c r="V28" s="440"/>
      <c r="W28" s="238" t="s">
        <v>61</v>
      </c>
      <c r="X28" s="49"/>
      <c r="Y28" s="283" t="str">
        <f>IF($W$15="Yes",IF($W28="Yes",IF($W$22="550-575",'Data Tables'!AG39,IF($W$22="575-600",'Data Tables'!AG40,IF($W$22="600-625",'Data Tables'!AG41,IF($W$22="625-650",'Data Tables'!AG42,IF($W$22="650-675",'Data Tables'!AG43,IF($W$22="675-700",'Data Tables'!AG44,IF($W$22="700-750",'Data Tables'!AG45,IF($W$22="750-800",'Data Tables'!AG46,IF($W$22="800-850",'Data Tables'!AG47,'Data Tables'!AG48))))))))),0),"")</f>
        <v/>
      </c>
      <c r="Z28" s="328"/>
      <c r="AA28" s="313"/>
    </row>
    <row r="29" spans="2:39" ht="16.05" customHeight="1" x14ac:dyDescent="0.3">
      <c r="B29" s="46"/>
      <c r="C29" s="227"/>
      <c r="D29" s="227"/>
      <c r="E29" s="440" t="str">
        <f>'Stage 2'!F25</f>
        <v>Commercial / Industrial</v>
      </c>
      <c r="F29" s="440"/>
      <c r="G29" s="440"/>
      <c r="H29" s="440"/>
      <c r="I29" s="440"/>
      <c r="J29" s="49"/>
      <c r="K29" s="315" t="str">
        <f>IF('Stage 2'!$K25&gt;0,'Stage 2'!O25/'Stage 2'!$K25,"")</f>
        <v/>
      </c>
      <c r="L29" s="269"/>
      <c r="M29" s="238" t="s">
        <v>61</v>
      </c>
      <c r="N29" s="240" t="s">
        <v>78</v>
      </c>
      <c r="O29" s="258"/>
      <c r="P29" s="49"/>
      <c r="Q29" s="49"/>
      <c r="R29" s="440" t="str">
        <f t="shared" si="0"/>
        <v>Commercial / Industrial</v>
      </c>
      <c r="S29" s="440"/>
      <c r="T29" s="440"/>
      <c r="U29" s="440"/>
      <c r="V29" s="440"/>
      <c r="W29" s="238" t="s">
        <v>61</v>
      </c>
      <c r="X29" s="49"/>
      <c r="Y29" s="283" t="str">
        <f>IF($W$15="Yes",IF($W29="Yes",IF($W$22="550-575",'Data Tables'!AI39,IF($W$22="575-600",'Data Tables'!AI40,IF($W$22="600-625",'Data Tables'!AI41,IF($W$22="625-650",'Data Tables'!AI42,IF($W$22="650-675",'Data Tables'!AI43,IF($W$22="675-700",'Data Tables'!AI44,IF($W$22="700-750",'Data Tables'!AI45,IF($W$22="750-800",'Data Tables'!AI46,IF($W$22="800-850",'Data Tables'!AI47,'Data Tables'!AI48))))))))),0),"")</f>
        <v/>
      </c>
      <c r="Z29" s="328"/>
      <c r="AA29" s="313"/>
    </row>
    <row r="30" spans="2:39" ht="16.05" customHeight="1" x14ac:dyDescent="0.3">
      <c r="B30" s="46"/>
      <c r="C30" s="227"/>
      <c r="D30" s="227"/>
      <c r="E30" s="440" t="str">
        <f>'Stage 2'!F26</f>
        <v>Urban open space</v>
      </c>
      <c r="F30" s="440"/>
      <c r="G30" s="440"/>
      <c r="H30" s="440"/>
      <c r="I30" s="440"/>
      <c r="J30" s="49"/>
      <c r="K30" s="315" t="str">
        <f>IF('Stage 2'!$K26&gt;0,'Stage 2'!O26/'Stage 2'!$K26,"")</f>
        <v/>
      </c>
      <c r="L30" s="269"/>
      <c r="M30" s="238" t="s">
        <v>61</v>
      </c>
      <c r="N30" s="240" t="s">
        <v>78</v>
      </c>
      <c r="O30" s="258"/>
      <c r="P30" s="49"/>
      <c r="Q30" s="49"/>
      <c r="R30" s="440" t="str">
        <f t="shared" si="0"/>
        <v>Urban open space</v>
      </c>
      <c r="S30" s="440"/>
      <c r="T30" s="440"/>
      <c r="U30" s="440"/>
      <c r="V30" s="440"/>
      <c r="W30" s="238" t="s">
        <v>61</v>
      </c>
      <c r="X30" s="49"/>
      <c r="Y30" s="283" t="str">
        <f>IF($W$15="Yes",IF($W30="Yes",IF($W$22="550-575",'Data Tables'!AK39,IF($W$22="575-600",'Data Tables'!AK40,IF($W$22="600-625",'Data Tables'!AK41,IF($W$22="625-650",'Data Tables'!AK42,IF($W$22="650-675",'Data Tables'!AK43,IF($W$22="675-700",'Data Tables'!AK44,IF($W$22="700-750",'Data Tables'!AK45,IF($W$22="750-800",'Data Tables'!AK46,IF($W$22="800-850",'Data Tables'!AK47,'Data Tables'!AK48))))))))),0),"")</f>
        <v/>
      </c>
      <c r="Z30" s="328"/>
      <c r="AA30" s="313"/>
    </row>
    <row r="31" spans="2:39" ht="16.05" customHeight="1" x14ac:dyDescent="0.3">
      <c r="B31" s="46"/>
      <c r="C31" s="227"/>
      <c r="D31" s="227"/>
      <c r="E31" s="440" t="str">
        <f>'Stage 2'!F27</f>
        <v>Dairy</v>
      </c>
      <c r="F31" s="440"/>
      <c r="G31" s="440"/>
      <c r="H31" s="440"/>
      <c r="I31" s="440"/>
      <c r="J31" s="49"/>
      <c r="K31" s="315" t="str">
        <f>IF('Stage 2'!$K27&gt;0,'Stage 2'!O27/'Stage 2'!$K27,"")</f>
        <v/>
      </c>
      <c r="L31" s="281"/>
      <c r="M31" s="238" t="s">
        <v>61</v>
      </c>
      <c r="N31" s="240" t="s">
        <v>78</v>
      </c>
      <c r="O31" s="258"/>
      <c r="P31" s="49"/>
      <c r="Q31" s="49"/>
      <c r="R31" s="440" t="str">
        <f t="shared" si="0"/>
        <v>Dairy</v>
      </c>
      <c r="S31" s="440"/>
      <c r="T31" s="440"/>
      <c r="U31" s="440"/>
      <c r="V31" s="440"/>
      <c r="W31" s="238" t="s">
        <v>61</v>
      </c>
      <c r="X31" s="49"/>
      <c r="Y31" s="285" t="str">
        <f>IF($W$15="Yes",IF($W31="Yes",IF($W$20="Wensum",(IF($W$21="Freely draining",IF($W$22="550-575",IF($W$23="Yes",'Data Tables'!Y5,'Data Tables'!Z5),IF($W$22="575-600",IF($W$23="Yes",'Data Tables'!Y5,'Data Tables'!Z5),IF($W$22="600-625",IF($W$23="Yes",'Data Tables'!Y5,'Data Tables'!Z5),IF($W$22="625-650",IF($W$23="Yes",'Data Tables'!Y5,'Data Tables'!Z5),IF($W$22="650-675",IF($W$23="Yes",'Data Tables'!Y5,'Data Tables'!Z5),IF($W$22="675-700",IF($W$23="Yes",'Data Tables'!Y5,'Data Tables'!Z5),IF($W$22="700-750",IF($W$23="Yes",'Data Tables'!AE5,'Data Tables'!AF5),IF($W$22="750-800",IF($W$23="Yes",'Data Tables'!AE5,'Data Tables'!AF5),IF($W$22="800-850",IF($W$23="Yes",'Data Tables'!AE5,'Data Tables'!AF5),IF($W$23="Yes",'Data Tables'!AE5,'Data Tables'!AF5)))))))))),IF($W$21="Impermeable - drained for arable",IF($W$22="550-575",IF($W$23="Yes",'Data Tables'!AA5,'Data Tables'!AB5),IF($W$22="575-600",IF($W$23="Yes",'Data Tables'!AA5,'Data Tables'!AB5),IF($W$22="600-625",IF($W$23="Yes",'Data Tables'!AA5,'Data Tables'!AB5),IF($W$22="625-650",IF($W$23="Yes",'Data Tables'!AA5,'Data Tables'!AB5),IF($W$22="650-675",IF($W$23="Yes",'Data Tables'!AA5,'Data Tables'!AB5),IF($W$22="675-700",IF($W$23="Yes",'Data Tables'!AA5,'Data Tables'!AB5),IF($W$22="700-750",IF($W$23="Yes",'Data Tables'!AG5,'Data Tables'!AH5),IF($W$22="750-800",IF($W$23="Yes",'Data Tables'!AG5,'Data Tables'!AH5),IF($W$22="800-850",IF($W$23="Yes",'Data Tables'!AG5,'Data Tables'!AH5),IF($W$23="Yes",'Data Tables'!AG5,'Data Tables'!AH5)))))))))),IF($W$22="550-575",IF($W$23="Yes",'Data Tables'!AC5,'Data Tables'!AD5),IF($W$22="575-600",IF($W$23="Yes",'Data Tables'!AC5,'Data Tables'!AD5),IF($W$22="600-625",IF($W$23="Yes",'Data Tables'!AC5,'Data Tables'!AD5),IF($W$22="625-650",IF($W$23="Yes",'Data Tables'!AC5,'Data Tables'!AD5),IF($W$22="650-675",IF($W$23="Yes",'Data Tables'!AC5,'Data Tables'!AD5),IF($W$22="675-700",IF($W$23="Yes",'Data Tables'!AC5,'Data Tables'!AD5),IF($W$22="700-750",IF($W$23="Yes",'Data Tables'!AI5,'Data Tables'!AJ5),IF($W$22="750-800",IF($W$23="Yes",'Data Tables'!AI5,'Data Tables'!AJ5),IF($W$22="800-850",IF($W$23="Yes",'Data Tables'!AI5,'Data Tables'!AJ5),IF($W$23="Yes",'Data Tables'!AI5,'Data Tables'!AJ5))))))))))))),IF($W$20="Yare",(IF($W$21="Freely draining",IF($W$22="550-575",IF($W$23="Yes",'Data Tables'!Y16,'Data Tables'!Z16),IF($W$22="575-600",IF($W$23="Yes",'Data Tables'!Y16,'Data Tables'!Z16),IF($W$22="600-625",IF($W$23="Yes",'Data Tables'!Y16,'Data Tables'!Z16),IF($W$22="625-650",IF($W$23="Yes",'Data Tables'!Y16,'Data Tables'!Z16),IF($W$22="650-675",IF($W$23="Yes",'Data Tables'!Y16,'Data Tables'!Z16),IF($W$22="675-700",IF($W$23="Yes",'Data Tables'!Y16,'Data Tables'!Z16),IF($W$22="700-750",IF($W$23="Yes",'Data Tables'!AE16,'Data Tables'!AF16),IF($W$22="750-800",IF($W$23="Yes",'Data Tables'!AE16,'Data Tables'!AF16),IF($W$22="800-850",IF($W$23="Yes",'Data Tables'!AE16,'Data Tables'!AF16),IF($W$23="Yes",'Data Tables'!AE16,'Data Tables'!AF16)))))))))),IF($W$21="Impermeable - drained for arable",IF($W$22="550-575",IF($W$23="Yes",'Data Tables'!AA16,'Data Tables'!AB16),IF($W$22="575-600",IF($W$23="Yes",'Data Tables'!AA16,'Data Tables'!AB16),IF($W$22="600-625",IF($W$23="Yes",'Data Tables'!AA16,'Data Tables'!AB16),IF($W$22="625-650",IF($W$23="Yes",'Data Tables'!AA16,'Data Tables'!AB16),IF($W$22="650-675",IF($W$23="Yes",'Data Tables'!AA16,'Data Tables'!AB16),IF($W$22="675-700",IF($W$23="Yes",'Data Tables'!AA16,'Data Tables'!AB16),IF($W$22="700-750",IF($W$23="Yes",'Data Tables'!AG16,'Data Tables'!AH16),IF($W$22="750-800",IF($W$23="Yes",'Data Tables'!AG16,'Data Tables'!AH16),IF($W$22="800-850",IF($W$23="Yes",'Data Tables'!AG16,'Data Tables'!AH16),IF($W$23="Yes",'Data Tables'!AG16,'Data Tables'!AH16)))))))))),IF($W$22="550-575",IF($W$23="Yes",'Data Tables'!AC16,'Data Tables'!AD16),IF($W$22="575-600",IF($W$23="Yes",'Data Tables'!AC16,'Data Tables'!AD16),IF($W$22="600-625",IF($W$23="Yes",'Data Tables'!AC16,'Data Tables'!AD16),IF($W$22="625-650",IF($W$23="Yes",'Data Tables'!AC16,'Data Tables'!AD16),IF($W$22="650-675",IF($W$23="Yes",'Data Tables'!AC16,'Data Tables'!AD16),IF($W$22="675-700",IF($W$23="Yes",'Data Tables'!AC16,'Data Tables'!AD16),IF($W$22="700-750",IF($W$23="Yes",'Data Tables'!AI16,'Data Tables'!AJ16),IF($W$22="750-800",IF($W$23="Yes",'Data Tables'!AI16,'Data Tables'!AJ16),IF($W$22="800-850",IF($W$23="Yes",'Data Tables'!AI16,'Data Tables'!AJ16),IF($W$23="Yes",'Data Tables'!AI16,'Data Tables'!AJ16))))))))))))),(IF($W$21="Freely draining",IF($W$22="550-575",IF($W$23="Yes",'Data Tables'!S27,'Data Tables'!T27),IF($W$22="575-600",IF($W$23="Yes",'Data Tables'!S27,'Data Tables'!T27),IF($W$22="600-625",IF($W$23="Yes",'Data Tables'!Y27,'Data Tables'!Z27),IF($W$22="625-650",IF($W$23="Yes",'Data Tables'!Y27,'Data Tables'!Z27),IF($W$22="650-675",IF($W$23="Yes",'Data Tables'!Y27,'Data Tables'!Z27),IF($W$22="675-700",IF($W$23="Yes",'Data Tables'!Y27,'Data Tables'!Z27),IF($W$22="700-750",IF($W$23="Yes",'Data Tables'!AE27,'Data Tables'!AF27),IF($W$22="750-800",IF($W$23="Yes",'Data Tables'!AE27,'Data Tables'!AF27),IF($W$22="800-850",IF($W$23="Yes",'Data Tables'!AE27,'Data Tables'!AF27),IF($W$23="Yes",'Data Tables'!AE27,'Data Tables'!AF27)))))))))),IF($W$21="Impermeable - drained for arable",IF($W$22="550-575",IF($W$23="Yes",'Data Tables'!U27,'Data Tables'!V27),IF($W$22="575-600",IF($W$23="Yes",'Data Tables'!U27,'Data Tables'!V27),IF($W$22="600-625",IF($W$23="Yes",'Data Tables'!AA27,'Data Tables'!AB27),IF($W$22="625-650",IF($W$23="Yes",'Data Tables'!AA27,'Data Tables'!AB27),IF($W$22="650-675",IF($W$23="Yes",'Data Tables'!AA27,'Data Tables'!AB27),IF($W$22="675-700",IF($W$23="Yes",'Data Tables'!AA27,'Data Tables'!AB27),IF($W$22="700-750",IF($W$23="Yes",'Data Tables'!AG27,'Data Tables'!AH27),IF($W$22="750-800",IF($W$23="Yes",'Data Tables'!AG27,'Data Tables'!AH27),IF($W$22="800-850",IF($W$23="Yes",'Data Tables'!AG27,'Data Tables'!AH27),IF($W$23="Yes",'Data Tables'!AG27,'Data Tables'!AH27)))))))))),IF($W$22="550-575",IF($W$23="Yes",'Data Tables'!W27,'Data Tables'!X27),IF($W$22="575-600",IF($W$23="Yes",'Data Tables'!W27,'Data Tables'!X27),IF($W$22="600-625",IF($W$23="Yes",'Data Tables'!AC27,'Data Tables'!AD27),IF($W$22="625-650",IF($W$23="Yes",'Data Tables'!AC27,'Data Tables'!AD27),IF($W$22="650-675",IF($W$23="Yes",'Data Tables'!AC27,'Data Tables'!AD27),IF($W$22="675-700",IF($W$23="Yes",'Data Tables'!AC27,'Data Tables'!AD27),IF($W$22="700-750",IF($W$23="Yes",'Data Tables'!AI27,'Data Tables'!AJ27),IF($W$22="750-800",IF($W$23="Yes",'Data Tables'!AI27,'Data Tables'!AJ27),IF($W$22="800-850",IF($W$23="Yes",'Data Tables'!AI27,'Data Tables'!AJ27),IF($W$23="Yes",'Data Tables'!AI27,'Data Tables'!AJ27))))))))))))))),0),"")</f>
        <v/>
      </c>
      <c r="Z31" s="330"/>
      <c r="AA31" s="313"/>
    </row>
    <row r="32" spans="2:39" ht="16.05" customHeight="1" x14ac:dyDescent="0.3">
      <c r="B32" s="46"/>
      <c r="C32" s="227"/>
      <c r="D32" s="227"/>
      <c r="E32" s="440" t="str">
        <f>'Stage 2'!F28</f>
        <v>Lowland grazing</v>
      </c>
      <c r="F32" s="440"/>
      <c r="G32" s="440"/>
      <c r="H32" s="440"/>
      <c r="I32" s="440"/>
      <c r="J32" s="49"/>
      <c r="K32" s="315" t="str">
        <f>IF('Stage 2'!$K28&gt;0,'Stage 2'!O28/'Stage 2'!$K28,"")</f>
        <v/>
      </c>
      <c r="L32" s="230"/>
      <c r="M32" s="238" t="s">
        <v>61</v>
      </c>
      <c r="N32" s="240" t="s">
        <v>78</v>
      </c>
      <c r="O32" s="258"/>
      <c r="P32" s="49"/>
      <c r="Q32" s="49"/>
      <c r="R32" s="440" t="str">
        <f t="shared" si="0"/>
        <v>Lowland grazing</v>
      </c>
      <c r="S32" s="440"/>
      <c r="T32" s="440"/>
      <c r="U32" s="440"/>
      <c r="V32" s="440"/>
      <c r="W32" s="238" t="s">
        <v>61</v>
      </c>
      <c r="X32" s="49"/>
      <c r="Y32" s="285" t="str">
        <f>IF($W$15="Yes",IF($W32="Yes",IF($W$20="Wensum",(IF($W$21="Freely draining",IF($W$22="550-575",IF($W$23="Yes",'Data Tables'!Y6,'Data Tables'!Z6),IF($W$22="575-600",IF($W$23="Yes",'Data Tables'!Y6,'Data Tables'!Z6),IF($W$22="600-625",IF($W$23="Yes",'Data Tables'!Y6,'Data Tables'!Z6),IF($W$22="625-650",IF($W$23="Yes",'Data Tables'!Y6,'Data Tables'!Z6),IF($W$22="650-675",IF($W$23="Yes",'Data Tables'!Y6,'Data Tables'!Z6),IF($W$22="675-700",IF($W$23="Yes",'Data Tables'!Y6,'Data Tables'!Z6),IF($W$22="700-750",IF($W$23="Yes",'Data Tables'!AE6,'Data Tables'!AF6),IF($W$22="750-800",IF($W$23="Yes",'Data Tables'!AE6,'Data Tables'!AF6),IF($W$22="800-850",IF($W$23="Yes",'Data Tables'!AE6,'Data Tables'!AF6),IF($W$23="Yes",'Data Tables'!AE6,'Data Tables'!AF6)))))))))),IF($W$21="Impermeable - drained for arable",IF($W$22="550-575",IF($W$23="Yes",'Data Tables'!AA6,'Data Tables'!AB6),IF($W$22="575-600",IF($W$23="Yes",'Data Tables'!AA6,'Data Tables'!AB6),IF($W$22="600-625",IF($W$23="Yes",'Data Tables'!AA6,'Data Tables'!AB6),IF($W$22="625-650",IF($W$23="Yes",'Data Tables'!AA6,'Data Tables'!AB6),IF($W$22="650-675",IF($W$23="Yes",'Data Tables'!AA6,'Data Tables'!AB6),IF($W$22="675-700",IF($W$23="Yes",'Data Tables'!AA6,'Data Tables'!AB6),IF($W$22="700-750",IF($W$23="Yes",'Data Tables'!AG6,'Data Tables'!AH6),IF($W$22="750-800",IF($W$23="Yes",'Data Tables'!AG6,'Data Tables'!AH6),IF($W$22="800-850",IF($W$23="Yes",'Data Tables'!AG6,'Data Tables'!AH6),IF($W$23="Yes",'Data Tables'!AG6,'Data Tables'!AH6)))))))))),IF($W$22="550-575",IF($W$23="Yes",'Data Tables'!AC6,'Data Tables'!AD6),IF($W$22="575-600",IF($W$23="Yes",'Data Tables'!AC6,'Data Tables'!AD6),IF($W$22="600-625",IF($W$23="Yes",'Data Tables'!AC6,'Data Tables'!AD6),IF($W$22="625-650",IF($W$23="Yes",'Data Tables'!AC6,'Data Tables'!AD6),IF($W$22="650-675",IF($W$23="Yes",'Data Tables'!AC6,'Data Tables'!AD6),IF($W$22="675-700",IF($W$23="Yes",'Data Tables'!AC6,'Data Tables'!AD6),IF($W$22="700-750",IF($W$23="Yes",'Data Tables'!AI6,'Data Tables'!AJ6),IF($W$22="750-800",IF($W$23="Yes",'Data Tables'!AI6,'Data Tables'!AJ6),IF($W$22="800-850",IF($W$23="Yes",'Data Tables'!AI6,'Data Tables'!AJ6),IF($W$23="Yes",'Data Tables'!AI6,'Data Tables'!AJ6))))))))))))),IF($W$20="Yare",(IF($W$21="Freely draining",IF($W$22="550-575",IF($W$23="Yes",'Data Tables'!Y17,'Data Tables'!Z17),IF($W$22="575-600",IF($W$23="Yes",'Data Tables'!Y17,'Data Tables'!Z17),IF($W$22="600-625",IF($W$23="Yes",'Data Tables'!Y17,'Data Tables'!Z17),IF($W$22="625-650",IF($W$23="Yes",'Data Tables'!Y17,'Data Tables'!Z17),IF($W$22="650-675",IF($W$23="Yes",'Data Tables'!Y17,'Data Tables'!Z17),IF($W$22="675-700",IF($W$23="Yes",'Data Tables'!Y17,'Data Tables'!Z17),IF($W$22="700-750",IF($W$23="Yes",'Data Tables'!AE17,'Data Tables'!AF17),IF($W$22="750-800",IF($W$23="Yes",'Data Tables'!AE17,'Data Tables'!AF17),IF($W$22="800-850",IF($W$23="Yes",'Data Tables'!AE17,'Data Tables'!AF17),IF($W$23="Yes",'Data Tables'!AE17,'Data Tables'!AF17)))))))))),IF($W$21="Impermeable - drained for arable",IF($W$22="550-575",IF($W$23="Yes",'Data Tables'!AA17,'Data Tables'!AB17),IF($W$22="575-600",IF($W$23="Yes",'Data Tables'!AA17,'Data Tables'!AB17),IF($W$22="600-625",IF($W$23="Yes",'Data Tables'!AA17,'Data Tables'!AB17),IF($W$22="625-650",IF($W$23="Yes",'Data Tables'!AA17,'Data Tables'!AB17),IF($W$22="650-675",IF($W$23="Yes",'Data Tables'!AA17,'Data Tables'!AB17),IF($W$22="675-700",IF($W$23="Yes",'Data Tables'!AA17,'Data Tables'!AB17),IF($W$22="700-750",IF($W$23="Yes",'Data Tables'!AG17,'Data Tables'!AH17),IF($W$22="750-800",IF($W$23="Yes",'Data Tables'!AG17,'Data Tables'!AH17),IF($W$22="800-850",IF($W$23="Yes",'Data Tables'!AG17,'Data Tables'!AH17),IF($W$23="Yes",'Data Tables'!AG17,'Data Tables'!AH17)))))))))),IF($W$22="550-575",IF($W$23="Yes",'Data Tables'!AC17,'Data Tables'!AD17),IF($W$22="575-600",IF($W$23="Yes",'Data Tables'!AC17,'Data Tables'!AD17),IF($W$22="600-625",IF($W$23="Yes",'Data Tables'!AC17,'Data Tables'!AD17),IF($W$22="625-650",IF($W$23="Yes",'Data Tables'!AC17,'Data Tables'!AD17),IF($W$22="650-675",IF($W$23="Yes",'Data Tables'!AC17,'Data Tables'!AD17),IF($W$22="675-700",IF($W$23="Yes",'Data Tables'!AC17,'Data Tables'!AD17),IF($W$22="700-750",IF($W$23="Yes",'Data Tables'!AI17,'Data Tables'!AJ17),IF($W$22="750-800",IF($W$23="Yes",'Data Tables'!AI17,'Data Tables'!AJ17),IF($W$22="800-850",IF($W$23="Yes",'Data Tables'!AI17,'Data Tables'!AJ17),IF($W$23="Yes",'Data Tables'!AI17,'Data Tables'!AJ17))))))))))))),(IF($W$21="Freely draining",IF($W$22="550-575",IF($W$23="Yes",'Data Tables'!S28,'Data Tables'!T28),IF($W$22="575-600",IF($W$23="Yes",'Data Tables'!S28,'Data Tables'!T28),IF($W$22="600-625",IF($W$23="Yes",'Data Tables'!Y28,'Data Tables'!Z28),IF($W$22="625-650",IF($W$23="Yes",'Data Tables'!Y28,'Data Tables'!Z28),IF($W$22="650-675",IF($W$23="Yes",'Data Tables'!Y28,'Data Tables'!Z28),IF($W$22="675-700",IF($W$23="Yes",'Data Tables'!Y28,'Data Tables'!Z28),IF($W$22="700-750",IF($W$23="Yes",'Data Tables'!AE28,'Data Tables'!AF28),IF($W$22="750-800",IF($W$23="Yes",'Data Tables'!AE28,'Data Tables'!AF28),IF($W$22="800-850",IF($W$23="Yes",'Data Tables'!AE28,'Data Tables'!AF28),IF($W$23="Yes",'Data Tables'!AE28,'Data Tables'!AF28)))))))))),IF($W$21="Impermeable - drained for arable",IF($W$22="550-575",IF($W$23="Yes",'Data Tables'!U28,'Data Tables'!V28),IF($W$22="575-600",IF($W$23="Yes",'Data Tables'!U28,'Data Tables'!V28),IF($W$22="600-625",IF($W$23="Yes",'Data Tables'!AA28,'Data Tables'!AB28),IF($W$22="625-650",IF($W$23="Yes",'Data Tables'!AA28,'Data Tables'!AB28),IF($W$22="650-675",IF($W$23="Yes",'Data Tables'!AA28,'Data Tables'!AB28),IF($W$22="675-700",IF($W$23="Yes",'Data Tables'!AA28,'Data Tables'!AB28),IF($W$22="700-750",IF($W$23="Yes",'Data Tables'!AG28,'Data Tables'!AH28),IF($W$22="750-800",IF($W$23="Yes",'Data Tables'!AG28,'Data Tables'!AH28),IF($W$22="800-850",IF($W$23="Yes",'Data Tables'!AG28,'Data Tables'!AH28),IF($W$23="Yes",'Data Tables'!AG28,'Data Tables'!AH28)))))))))),IF($W$22="550-575",IF($W$23="Yes",'Data Tables'!W28,'Data Tables'!X28),IF($W$22="575-600",IF($W$23="Yes",'Data Tables'!W28,'Data Tables'!X28),IF($W$22="600-625",IF($W$23="Yes",'Data Tables'!AC28,'Data Tables'!AD28),IF($W$22="625-650",IF($W$23="Yes",'Data Tables'!AC28,'Data Tables'!AD28),IF($W$22="650-675",IF($W$23="Yes",'Data Tables'!AC28,'Data Tables'!AD28),IF($W$22="675-700",IF($W$23="Yes",'Data Tables'!AC28,'Data Tables'!AD28),IF($W$22="700-750",IF($W$23="Yes",'Data Tables'!AI28,'Data Tables'!AJ28),IF($W$22="750-800",IF($W$23="Yes",'Data Tables'!AI28,'Data Tables'!AJ28),IF($W$22="800-850",IF($W$23="Yes",'Data Tables'!AI28,'Data Tables'!AJ28),IF($W$23="Yes",'Data Tables'!AI28,'Data Tables'!AJ28))))))))))))))),0),"")</f>
        <v/>
      </c>
      <c r="Z32" s="330"/>
      <c r="AA32" s="313"/>
    </row>
    <row r="33" spans="2:27" ht="16.05" customHeight="1" x14ac:dyDescent="0.3">
      <c r="B33" s="46"/>
      <c r="C33" s="227"/>
      <c r="D33" s="227"/>
      <c r="E33" s="440" t="str">
        <f>'Stage 2'!F29</f>
        <v>Mixed</v>
      </c>
      <c r="F33" s="440"/>
      <c r="G33" s="440"/>
      <c r="H33" s="440"/>
      <c r="I33" s="440"/>
      <c r="J33" s="49"/>
      <c r="K33" s="315" t="str">
        <f>IF('Stage 2'!$K29&gt;0,'Stage 2'!O29/'Stage 2'!$K29,"")</f>
        <v/>
      </c>
      <c r="L33" s="230"/>
      <c r="M33" s="238" t="s">
        <v>61</v>
      </c>
      <c r="N33" s="240" t="s">
        <v>78</v>
      </c>
      <c r="O33" s="258"/>
      <c r="P33" s="49"/>
      <c r="Q33" s="49"/>
      <c r="R33" s="440" t="str">
        <f t="shared" si="0"/>
        <v>Mixed</v>
      </c>
      <c r="S33" s="440"/>
      <c r="T33" s="440"/>
      <c r="U33" s="440"/>
      <c r="V33" s="440"/>
      <c r="W33" s="238" t="s">
        <v>61</v>
      </c>
      <c r="X33" s="49"/>
      <c r="Y33" s="285" t="str">
        <f>IF($W$15="Yes",IF($W33="Yes",IF($W$20="Wensum",(IF($W$21="Freely draining",IF($W$22="550-575",IF($W$23="Yes",'Data Tables'!Y7,'Data Tables'!Z7),IF($W$22="575-600",IF($W$23="Yes",'Data Tables'!Y7,'Data Tables'!Z7),IF($W$22="600-625",IF($W$23="Yes",'Data Tables'!Y7,'Data Tables'!Z7),IF($W$22="625-650",IF($W$23="Yes",'Data Tables'!Y7,'Data Tables'!Z7),IF($W$22="650-675",IF($W$23="Yes",'Data Tables'!Y7,'Data Tables'!Z7),IF($W$22="675-700",IF($W$23="Yes",'Data Tables'!Y7,'Data Tables'!Z7),IF($W$22="700-750",IF($W$23="Yes",'Data Tables'!AE7,'Data Tables'!AF7),IF($W$22="750-800",IF($W$23="Yes",'Data Tables'!AE7,'Data Tables'!AF7),IF($W$22="800-850",IF($W$23="Yes",'Data Tables'!AE7,'Data Tables'!AF7),IF($W$23="Yes",'Data Tables'!AE7,'Data Tables'!AF7)))))))))),IF($W$21="Impermeable - drained for arable",IF($W$22="550-575",IF($W$23="Yes",'Data Tables'!AA7,'Data Tables'!AB7),IF($W$22="575-600",IF($W$23="Yes",'Data Tables'!AA7,'Data Tables'!AB7),IF($W$22="600-625",IF($W$23="Yes",'Data Tables'!AA7,'Data Tables'!AB7),IF($W$22="625-650",IF($W$23="Yes",'Data Tables'!AA7,'Data Tables'!AB7),IF($W$22="650-675",IF($W$23="Yes",'Data Tables'!AA7,'Data Tables'!AB7),IF($W$22="675-700",IF($W$23="Yes",'Data Tables'!AA7,'Data Tables'!AB7),IF($W$22="700-750",IF($W$23="Yes",'Data Tables'!AG7,'Data Tables'!AH7),IF($W$22="750-800",IF($W$23="Yes",'Data Tables'!AG7,'Data Tables'!AH7),IF($W$22="800-850",IF($W$23="Yes",'Data Tables'!AG7,'Data Tables'!AH7),IF($W$23="Yes",'Data Tables'!AG7,'Data Tables'!AH7)))))))))),IF($W$22="550-575",IF($W$23="Yes",'Data Tables'!AC7,'Data Tables'!AD7),IF($W$22="575-600",IF($W$23="Yes",'Data Tables'!AC7,'Data Tables'!AD7),IF($W$22="600-625",IF($W$23="Yes",'Data Tables'!AC7,'Data Tables'!AD7),IF($W$22="625-650",IF($W$23="Yes",'Data Tables'!AC7,'Data Tables'!AD7),IF($W$22="650-675",IF($W$23="Yes",'Data Tables'!AC7,'Data Tables'!AD7),IF($W$22="675-700",IF($W$23="Yes",'Data Tables'!AC7,'Data Tables'!AD7),IF($W$22="700-750",IF($W$23="Yes",'Data Tables'!AI7,'Data Tables'!AJ7),IF($W$22="750-800",IF($W$23="Yes",'Data Tables'!AI7,'Data Tables'!AJ7),IF($W$22="800-850",IF($W$23="Yes",'Data Tables'!AI7,'Data Tables'!AJ7),IF($W$23="Yes",'Data Tables'!AI7,'Data Tables'!AJ7))))))))))))),IF($W$20="Yare",(IF($W$21="Freely draining",IF($W$22="550-575",IF($W$23="Yes",'Data Tables'!Y18,'Data Tables'!Z18),IF($W$22="575-600",IF($W$23="Yes",'Data Tables'!Y18,'Data Tables'!Z18),IF($W$22="600-625",IF($W$23="Yes",'Data Tables'!Y18,'Data Tables'!Z18),IF($W$22="625-650",IF($W$23="Yes",'Data Tables'!Y18,'Data Tables'!Z18),IF($W$22="650-675",IF($W$23="Yes",'Data Tables'!Y18,'Data Tables'!Z18),IF($W$22="675-700",IF($W$23="Yes",'Data Tables'!Y18,'Data Tables'!Z18),IF($W$22="700-750",IF($W$23="Yes",'Data Tables'!AE18,'Data Tables'!AF18),IF($W$22="750-800",IF($W$23="Yes",'Data Tables'!AE18,'Data Tables'!AF18),IF($W$22="800-850",IF($W$23="Yes",'Data Tables'!AE18,'Data Tables'!AF18),IF($W$23="Yes",'Data Tables'!AE18,'Data Tables'!AF18)))))))))),IF($W$21="Impermeable - drained for arable",IF($W$22="550-575",IF($W$23="Yes",'Data Tables'!AA18,'Data Tables'!AB18),IF($W$22="575-600",IF($W$23="Yes",'Data Tables'!AA18,'Data Tables'!AB18),IF($W$22="600-625",IF($W$23="Yes",'Data Tables'!AA18,'Data Tables'!AB18),IF($W$22="625-650",IF($W$23="Yes",'Data Tables'!AA18,'Data Tables'!AB18),IF($W$22="650-675",IF($W$23="Yes",'Data Tables'!AA18,'Data Tables'!AB18),IF($W$22="675-700",IF($W$23="Yes",'Data Tables'!AA18,'Data Tables'!AB18),IF($W$22="700-750",IF($W$23="Yes",'Data Tables'!AG18,'Data Tables'!AH18),IF($W$22="750-800",IF($W$23="Yes",'Data Tables'!AG18,'Data Tables'!AH18),IF($W$22="800-850",IF($W$23="Yes",'Data Tables'!AG18,'Data Tables'!AH18),IF($W$23="Yes",'Data Tables'!AG18,'Data Tables'!AH18)))))))))),IF($W$22="550-575",IF($W$23="Yes",'Data Tables'!AC18,'Data Tables'!AD18),IF($W$22="575-600",IF($W$23="Yes",'Data Tables'!AC18,'Data Tables'!AD18),IF($W$22="600-625",IF($W$23="Yes",'Data Tables'!AC18,'Data Tables'!AD18),IF($W$22="625-650",IF($W$23="Yes",'Data Tables'!AC18,'Data Tables'!AD18),IF($W$22="650-675",IF($W$23="Yes",'Data Tables'!AC18,'Data Tables'!AD18),IF($W$22="675-700",IF($W$23="Yes",'Data Tables'!AC18,'Data Tables'!AD18),IF($W$22="700-750",IF($W$23="Yes",'Data Tables'!AI18,'Data Tables'!AJ18),IF($W$22="750-800",IF($W$23="Yes",'Data Tables'!AI18,'Data Tables'!AJ18),IF($W$22="800-850",IF($W$23="Yes",'Data Tables'!AI18,'Data Tables'!AJ18),IF($W$23="Yes",'Data Tables'!AI18,'Data Tables'!AJ18))))))))))))),(IF($W$21="Freely draining",IF($W$22="550-575",IF($W$23="Yes",'Data Tables'!S29,'Data Tables'!T29),IF($W$22="575-600",IF($W$23="Yes",'Data Tables'!S29,'Data Tables'!T29),IF($W$22="600-625",IF($W$23="Yes",'Data Tables'!Y29,'Data Tables'!Z29),IF($W$22="625-650",IF($W$23="Yes",'Data Tables'!Y29,'Data Tables'!Z29),IF($W$22="650-675",IF($W$23="Yes",'Data Tables'!Y29,'Data Tables'!Z29),IF($W$22="675-700",IF($W$23="Yes",'Data Tables'!Y29,'Data Tables'!Z29),IF($W$22="700-750",IF($W$23="Yes",'Data Tables'!AE29,'Data Tables'!AF29),IF($W$22="750-800",IF($W$23="Yes",'Data Tables'!AE29,'Data Tables'!AF29),IF($W$22="800-850",IF($W$23="Yes",'Data Tables'!AE29,'Data Tables'!AF29),IF($W$23="Yes",'Data Tables'!AE29,'Data Tables'!AF29)))))))))),IF($W$21="Impermeable - drained for arable",IF($W$22="550-575",IF($W$23="Yes",'Data Tables'!U29,'Data Tables'!V29),IF($W$22="575-600",IF($W$23="Yes",'Data Tables'!U29,'Data Tables'!V29),IF($W$22="600-625",IF($W$23="Yes",'Data Tables'!AA29,'Data Tables'!AB29),IF($W$22="625-650",IF($W$23="Yes",'Data Tables'!AA29,'Data Tables'!AB29),IF($W$22="650-675",IF($W$23="Yes",'Data Tables'!AA29,'Data Tables'!AB29),IF($W$22="675-700",IF($W$23="Yes",'Data Tables'!AA29,'Data Tables'!AB29),IF($W$22="700-750",IF($W$23="Yes",'Data Tables'!AG29,'Data Tables'!AH29),IF($W$22="750-800",IF($W$23="Yes",'Data Tables'!AG29,'Data Tables'!AH29),IF($W$22="800-850",IF($W$23="Yes",'Data Tables'!AG29,'Data Tables'!AH29),IF($W$23="Yes",'Data Tables'!AG29,'Data Tables'!AH29)))))))))),IF($W$22="550-575",IF($W$23="Yes",'Data Tables'!W29,'Data Tables'!X29),IF($W$22="575-600",IF($W$23="Yes",'Data Tables'!W29,'Data Tables'!X29),IF($W$22="600-625",IF($W$23="Yes",'Data Tables'!AC29,'Data Tables'!AD29),IF($W$22="625-650",IF($W$23="Yes",'Data Tables'!AC29,'Data Tables'!AD29),IF($W$22="650-675",IF($W$23="Yes",'Data Tables'!AC29,'Data Tables'!AD29),IF($W$22="675-700",IF($W$23="Yes",'Data Tables'!AC29,'Data Tables'!AD29),IF($W$22="700-750",IF($W$23="Yes",'Data Tables'!AI29,'Data Tables'!AJ29),IF($W$22="750-800",IF($W$23="Yes",'Data Tables'!AI29,'Data Tables'!AJ29),IF($W$22="800-850",IF($W$23="Yes",'Data Tables'!AI29,'Data Tables'!AJ29),IF($W$23="Yes",'Data Tables'!AI29,'Data Tables'!AJ29))))))))))))))),0),"")</f>
        <v/>
      </c>
      <c r="Z33" s="330"/>
      <c r="AA33" s="313"/>
    </row>
    <row r="34" spans="2:27" ht="16.05" customHeight="1" x14ac:dyDescent="0.3">
      <c r="B34" s="46"/>
      <c r="C34" s="227"/>
      <c r="D34" s="227"/>
      <c r="E34" s="440" t="str">
        <f>'Stage 2'!F30</f>
        <v>Poultry</v>
      </c>
      <c r="F34" s="440"/>
      <c r="G34" s="440"/>
      <c r="H34" s="440"/>
      <c r="I34" s="440"/>
      <c r="J34" s="49"/>
      <c r="K34" s="315" t="str">
        <f>IF('Stage 2'!$K30&gt;0,'Stage 2'!O30/'Stage 2'!$K30,"")</f>
        <v/>
      </c>
      <c r="L34" s="230"/>
      <c r="M34" s="238" t="s">
        <v>61</v>
      </c>
      <c r="N34" s="240" t="s">
        <v>78</v>
      </c>
      <c r="O34" s="258"/>
      <c r="P34" s="49"/>
      <c r="Q34" s="49"/>
      <c r="R34" s="440" t="str">
        <f t="shared" si="0"/>
        <v>Poultry</v>
      </c>
      <c r="S34" s="440"/>
      <c r="T34" s="440"/>
      <c r="U34" s="440"/>
      <c r="V34" s="440"/>
      <c r="W34" s="238" t="s">
        <v>61</v>
      </c>
      <c r="X34" s="49"/>
      <c r="Y34" s="285" t="str">
        <f>IF($W$15="Yes",IF($W34="Yes",IF($W$20="Wensum",(IF($W$21="Freely draining",IF($W$22="550-575",IF($W$23="Yes",'Data Tables'!Y8,'Data Tables'!Z8),IF($W$22="575-600",IF($W$23="Yes",'Data Tables'!Y8,'Data Tables'!Z8),IF($W$22="600-625",IF($W$23="Yes",'Data Tables'!Y8,'Data Tables'!Z8),IF($W$22="625-650",IF($W$23="Yes",'Data Tables'!Y8,'Data Tables'!Z8),IF($W$22="650-675",IF($W$23="Yes",'Data Tables'!Y8,'Data Tables'!Z8),IF($W$22="675-700",IF($W$23="Yes",'Data Tables'!Y8,'Data Tables'!Z8),IF($W$22="700-750",IF($W$23="Yes",'Data Tables'!AE8,'Data Tables'!AF8),IF($W$22="750-800",IF($W$23="Yes",'Data Tables'!AE8,'Data Tables'!AF8),IF($W$22="800-850",IF($W$23="Yes",'Data Tables'!AE8,'Data Tables'!AF8),IF($W$23="Yes",'Data Tables'!AE8,'Data Tables'!AF8)))))))))),IF($W$21="Impermeable - drained for arable",IF($W$22="550-575",IF($W$23="Yes",'Data Tables'!AA8,'Data Tables'!AB8),IF($W$22="575-600",IF($W$23="Yes",'Data Tables'!AA8,'Data Tables'!AB8),IF($W$22="600-625",IF($W$23="Yes",'Data Tables'!AA8,'Data Tables'!AB8),IF($W$22="625-650",IF($W$23="Yes",'Data Tables'!AA8,'Data Tables'!AB8),IF($W$22="650-675",IF($W$23="Yes",'Data Tables'!AA8,'Data Tables'!AB8),IF($W$22="675-700",IF($W$23="Yes",'Data Tables'!AA8,'Data Tables'!AB8),IF($W$22="700-750",IF($W$23="Yes",'Data Tables'!AG8,'Data Tables'!AH8),IF($W$22="750-800",IF($W$23="Yes",'Data Tables'!AG8,'Data Tables'!AH8),IF($W$22="800-850",IF($W$23="Yes",'Data Tables'!AG8,'Data Tables'!AH8),IF($W$23="Yes",'Data Tables'!AG8,'Data Tables'!AH8)))))))))),IF($W$22="550-575",IF($W$23="Yes",'Data Tables'!AC8,'Data Tables'!AD8),IF($W$22="575-600",IF($W$23="Yes",'Data Tables'!AC8,'Data Tables'!AD8),IF($W$22="600-625",IF($W$23="Yes",'Data Tables'!AC8,'Data Tables'!AD8),IF($W$22="625-650",IF($W$23="Yes",'Data Tables'!AC8,'Data Tables'!AD8),IF($W$22="650-675",IF($W$23="Yes",'Data Tables'!AC8,'Data Tables'!AD8),IF($W$22="675-700",IF($W$23="Yes",'Data Tables'!AC8,'Data Tables'!AD8),IF($W$22="700-750",IF($W$23="Yes",'Data Tables'!AI8,'Data Tables'!AJ8),IF($W$22="750-800",IF($W$23="Yes",'Data Tables'!AI8,'Data Tables'!AJ8),IF($W$22="800-850",IF($W$23="Yes",'Data Tables'!AI8,'Data Tables'!AJ8),IF($W$23="Yes",'Data Tables'!AI8,'Data Tables'!AJ8))))))))))))),IF($W$20="Yare",(IF($W$21="Freely draining",IF($W$22="550-575",IF($W$23="Yes",'Data Tables'!Y19,'Data Tables'!Z19),IF($W$22="575-600",IF($W$23="Yes",'Data Tables'!Y19,'Data Tables'!Z19),IF($W$22="600-625",IF($W$23="Yes",'Data Tables'!Y19,'Data Tables'!Z19),IF($W$22="625-650",IF($W$23="Yes",'Data Tables'!Y19,'Data Tables'!Z19),IF($W$22="650-675",IF($W$23="Yes",'Data Tables'!Y19,'Data Tables'!Z19),IF($W$22="675-700",IF($W$23="Yes",'Data Tables'!Y19,'Data Tables'!Z19),IF($W$22="700-750",IF($W$23="Yes",'Data Tables'!AE19,'Data Tables'!AF19),IF($W$22="750-800",IF($W$23="Yes",'Data Tables'!AE19,'Data Tables'!AF19),IF($W$22="800-850",IF($W$23="Yes",'Data Tables'!AE19,'Data Tables'!AF19),IF($W$23="Yes",'Data Tables'!AE19,'Data Tables'!AF19)))))))))),IF($W$21="Impermeable - drained for arable",IF($W$22="550-575",IF($W$23="Yes",'Data Tables'!AA19,'Data Tables'!AB19),IF($W$22="575-600",IF($W$23="Yes",'Data Tables'!AA19,'Data Tables'!AB19),IF($W$22="600-625",IF($W$23="Yes",'Data Tables'!AA19,'Data Tables'!AB19),IF($W$22="625-650",IF($W$23="Yes",'Data Tables'!AA19,'Data Tables'!AB19),IF($W$22="650-675",IF($W$23="Yes",'Data Tables'!AA19,'Data Tables'!AB19),IF($W$22="675-700",IF($W$23="Yes",'Data Tables'!AA19,'Data Tables'!AB19),IF($W$22="700-750",IF($W$23="Yes",'Data Tables'!AG19,'Data Tables'!AH19),IF($W$22="750-800",IF($W$23="Yes",'Data Tables'!AG19,'Data Tables'!AH19),IF($W$22="800-850",IF($W$23="Yes",'Data Tables'!AG19,'Data Tables'!AH19),IF($W$23="Yes",'Data Tables'!AG19,'Data Tables'!AH19)))))))))),IF($W$22="550-575",IF($W$23="Yes",'Data Tables'!AC19,'Data Tables'!AD19),IF($W$22="575-600",IF($W$23="Yes",'Data Tables'!AC19,'Data Tables'!AD19),IF($W$22="600-625",IF($W$23="Yes",'Data Tables'!AC19,'Data Tables'!AD19),IF($W$22="625-650",IF($W$23="Yes",'Data Tables'!AC19,'Data Tables'!AD19),IF($W$22="650-675",IF($W$23="Yes",'Data Tables'!AC19,'Data Tables'!AD19),IF($W$22="675-700",IF($W$23="Yes",'Data Tables'!AC19,'Data Tables'!AD19),IF($W$22="700-750",IF($W$23="Yes",'Data Tables'!AI19,'Data Tables'!AJ19),IF($W$22="750-800",IF($W$23="Yes",'Data Tables'!AI19,'Data Tables'!AJ19),IF($W$22="800-850",IF($W$23="Yes",'Data Tables'!AI19,'Data Tables'!AJ19),IF($W$23="Yes",'Data Tables'!AI19,'Data Tables'!AJ19))))))))))))),(IF($W$21="Freely draining",IF($W$22="550-575",IF($W$23="Yes",'Data Tables'!S30,'Data Tables'!T30),IF($W$22="575-600",IF($W$23="Yes",'Data Tables'!S30,'Data Tables'!T30),IF($W$22="600-625",IF($W$23="Yes",'Data Tables'!Y30,'Data Tables'!Z30),IF($W$22="625-650",IF($W$23="Yes",'Data Tables'!Y30,'Data Tables'!Z30),IF($W$22="650-675",IF($W$23="Yes",'Data Tables'!Y30,'Data Tables'!Z30),IF($W$22="675-700",IF($W$23="Yes",'Data Tables'!Y30,'Data Tables'!Z30),IF($W$22="700-750",IF($W$23="Yes",'Data Tables'!AE30,'Data Tables'!AF30),IF($W$22="750-800",IF($W$23="Yes",'Data Tables'!AE30,'Data Tables'!AF30),IF($W$22="800-850",IF($W$23="Yes",'Data Tables'!AE30,'Data Tables'!AF30),IF($W$23="Yes",'Data Tables'!AE30,'Data Tables'!AF30)))))))))),IF($W$21="Impermeable - drained for arable",IF($W$22="550-575",IF($W$23="Yes",'Data Tables'!U30,'Data Tables'!V30),IF($W$22="575-600",IF($W$23="Yes",'Data Tables'!U30,'Data Tables'!V30),IF($W$22="600-625",IF($W$23="Yes",'Data Tables'!AA30,'Data Tables'!AB30),IF($W$22="625-650",IF($W$23="Yes",'Data Tables'!AA30,'Data Tables'!AB30),IF($W$22="650-675",IF($W$23="Yes",'Data Tables'!AA30,'Data Tables'!AB30),IF($W$22="675-700",IF($W$23="Yes",'Data Tables'!AA30,'Data Tables'!AB30),IF($W$22="700-750",IF($W$23="Yes",'Data Tables'!AG30,'Data Tables'!AH30),IF($W$22="750-800",IF($W$23="Yes",'Data Tables'!AG30,'Data Tables'!AH30),IF($W$22="800-850",IF($W$23="Yes",'Data Tables'!AG30,'Data Tables'!AH30),IF($W$23="Yes",'Data Tables'!AG30,'Data Tables'!AH30)))))))))),IF($W$22="550-575",IF($W$23="Yes",'Data Tables'!W30,'Data Tables'!X30),IF($W$22="575-600",IF($W$23="Yes",'Data Tables'!W30,'Data Tables'!X30),IF($W$22="600-625",IF($W$23="Yes",'Data Tables'!AC30,'Data Tables'!AD30),IF($W$22="625-650",IF($W$23="Yes",'Data Tables'!AC30,'Data Tables'!AD30),IF($W$22="650-675",IF($W$23="Yes",'Data Tables'!AC30,'Data Tables'!AD30),IF($W$22="675-700",IF($W$23="Yes",'Data Tables'!AC30,'Data Tables'!AD30),IF($W$22="700-750",IF($W$23="Yes",'Data Tables'!AI30,'Data Tables'!AJ30),IF($W$22="750-800",IF($W$23="Yes",'Data Tables'!AI30,'Data Tables'!AJ30),IF($W$22="800-850",IF($W$23="Yes",'Data Tables'!AI30,'Data Tables'!AJ30),IF($W$23="Yes",'Data Tables'!AI30,'Data Tables'!AJ30))))))))))))))),0),"")</f>
        <v/>
      </c>
      <c r="Z34" s="330"/>
      <c r="AA34" s="313"/>
    </row>
    <row r="35" spans="2:27" ht="16.05" customHeight="1" x14ac:dyDescent="0.3">
      <c r="B35" s="46"/>
      <c r="C35" s="227"/>
      <c r="D35" s="227"/>
      <c r="E35" s="440" t="str">
        <f>'Stage 2'!F31</f>
        <v>Pigs</v>
      </c>
      <c r="F35" s="440"/>
      <c r="G35" s="440"/>
      <c r="H35" s="440"/>
      <c r="I35" s="440"/>
      <c r="J35" s="49"/>
      <c r="K35" s="315" t="str">
        <f>IF('Stage 2'!$K31&gt;0,'Stage 2'!O31/'Stage 2'!$K31,"")</f>
        <v/>
      </c>
      <c r="L35" s="230"/>
      <c r="M35" s="238" t="s">
        <v>61</v>
      </c>
      <c r="N35" s="240" t="s">
        <v>78</v>
      </c>
      <c r="O35" s="258"/>
      <c r="P35" s="49"/>
      <c r="Q35" s="49"/>
      <c r="R35" s="440" t="str">
        <f t="shared" si="0"/>
        <v>Pigs</v>
      </c>
      <c r="S35" s="440"/>
      <c r="T35" s="440"/>
      <c r="U35" s="440"/>
      <c r="V35" s="440"/>
      <c r="W35" s="238" t="s">
        <v>61</v>
      </c>
      <c r="X35" s="49"/>
      <c r="Y35" s="285" t="str">
        <f>IF($W$15="Yes",IF($W35="Yes",IF($W$20="Wensum",(IF($W$21="Freely draining",IF($W$22="550-575",IF($W$23="Yes",'Data Tables'!Y9,'Data Tables'!Z9),IF($W$22="575-600",IF($W$23="Yes",'Data Tables'!Y9,'Data Tables'!Z9),IF($W$22="600-625",IF($W$23="Yes",'Data Tables'!Y9,'Data Tables'!Z9),IF($W$22="625-650",IF($W$23="Yes",'Data Tables'!Y9,'Data Tables'!Z9),IF($W$22="650-675",IF($W$23="Yes",'Data Tables'!Y9,'Data Tables'!Z9),IF($W$22="675-700",IF($W$23="Yes",'Data Tables'!Y9,'Data Tables'!Z9),IF($W$22="700-750",IF($W$23="Yes",'Data Tables'!AE9,'Data Tables'!AF9),IF($W$22="750-800",IF($W$23="Yes",'Data Tables'!AE9,'Data Tables'!AF9),IF($W$22="800-850",IF($W$23="Yes",'Data Tables'!AE9,'Data Tables'!AF9),IF($W$23="Yes",'Data Tables'!AE9,'Data Tables'!AF9)))))))))),IF($W$21="Impermeable - drained for arable",IF($W$22="550-575",IF($W$23="Yes",'Data Tables'!AA9,'Data Tables'!AB9),IF($W$22="575-600",IF($W$23="Yes",'Data Tables'!AA9,'Data Tables'!AB9),IF($W$22="600-625",IF($W$23="Yes",'Data Tables'!AA9,'Data Tables'!AB9),IF($W$22="625-650",IF($W$23="Yes",'Data Tables'!AA9,'Data Tables'!AB9),IF($W$22="650-675",IF($W$23="Yes",'Data Tables'!AA9,'Data Tables'!AB9),IF($W$22="675-700",IF($W$23="Yes",'Data Tables'!AA9,'Data Tables'!AB9),IF($W$22="700-750",IF($W$23="Yes",'Data Tables'!AG9,'Data Tables'!AH9),IF($W$22="750-800",IF($W$23="Yes",'Data Tables'!AG9,'Data Tables'!AH9),IF($W$22="800-850",IF($W$23="Yes",'Data Tables'!AG9,'Data Tables'!AH9),IF($W$23="Yes",'Data Tables'!AG9,'Data Tables'!AH9)))))))))),IF($W$22="550-575",IF($W$23="Yes",'Data Tables'!AC9,'Data Tables'!AD9),IF($W$22="575-600",IF($W$23="Yes",'Data Tables'!AC9,'Data Tables'!AD9),IF($W$22="600-625",IF($W$23="Yes",'Data Tables'!AC9,'Data Tables'!AD9),IF($W$22="625-650",IF($W$23="Yes",'Data Tables'!AC9,'Data Tables'!AD9),IF($W$22="650-675",IF($W$23="Yes",'Data Tables'!AC9,'Data Tables'!AD9),IF($W$22="675-700",IF($W$23="Yes",'Data Tables'!AC9,'Data Tables'!AD9),IF($W$22="700-750",IF($W$23="Yes",'Data Tables'!AI9,'Data Tables'!AJ9),IF($W$22="750-800",IF($W$23="Yes",'Data Tables'!AI9,'Data Tables'!AJ9),IF($W$22="800-850",IF($W$23="Yes",'Data Tables'!AI9,'Data Tables'!AJ9),IF($W$23="Yes",'Data Tables'!AI9,'Data Tables'!AJ9))))))))))))),IF($W$20="Yare",(IF($W$21="Freely draining",IF($W$22="550-575",IF($W$23="Yes",'Data Tables'!Y20,'Data Tables'!Z20),IF($W$22="575-600",IF($W$23="Yes",'Data Tables'!Y20,'Data Tables'!Z20),IF($W$22="600-625",IF($W$23="Yes",'Data Tables'!Y20,'Data Tables'!Z20),IF($W$22="625-650",IF($W$23="Yes",'Data Tables'!Y20,'Data Tables'!Z20),IF($W$22="650-675",IF($W$23="Yes",'Data Tables'!Y20,'Data Tables'!Z20),IF($W$22="675-700",IF($W$23="Yes",'Data Tables'!Y20,'Data Tables'!Z20),IF($W$22="700-750",IF($W$23="Yes",'Data Tables'!AE20,'Data Tables'!AF20),IF($W$22="750-800",IF($W$23="Yes",'Data Tables'!AE20,'Data Tables'!AF20),IF($W$22="800-850",IF($W$23="Yes",'Data Tables'!AE20,'Data Tables'!AF20),IF($W$23="Yes",'Data Tables'!AE20,'Data Tables'!AF20)))))))))),IF($W$21="Impermeable - drained for arable",IF($W$22="550-575",IF($W$23="Yes",'Data Tables'!AA20,'Data Tables'!AB20),IF($W$22="575-600",IF($W$23="Yes",'Data Tables'!AA20,'Data Tables'!AB20),IF($W$22="600-625",IF($W$23="Yes",'Data Tables'!AA20,'Data Tables'!AB20),IF($W$22="625-650",IF($W$23="Yes",'Data Tables'!AA20,'Data Tables'!AB20),IF($W$22="650-675",IF($W$23="Yes",'Data Tables'!AA20,'Data Tables'!AB20),IF($W$22="675-700",IF($W$23="Yes",'Data Tables'!AA20,'Data Tables'!AB20),IF($W$22="700-750",IF($W$23="Yes",'Data Tables'!AG20,'Data Tables'!AH20),IF($W$22="750-800",IF($W$23="Yes",'Data Tables'!AG20,'Data Tables'!AH20),IF($W$22="800-850",IF($W$23="Yes",'Data Tables'!AG20,'Data Tables'!AH20),IF($W$23="Yes",'Data Tables'!AG20,'Data Tables'!AH20)))))))))),IF($W$22="550-575",IF($W$23="Yes",'Data Tables'!AC20,'Data Tables'!AD20),IF($W$22="575-600",IF($W$23="Yes",'Data Tables'!AC20,'Data Tables'!AD20),IF($W$22="600-625",IF($W$23="Yes",'Data Tables'!AC20,'Data Tables'!AD20),IF($W$22="625-650",IF($W$23="Yes",'Data Tables'!AC20,'Data Tables'!AD20),IF($W$22="650-675",IF($W$23="Yes",'Data Tables'!AC20,'Data Tables'!AD20),IF($W$22="675-700",IF($W$23="Yes",'Data Tables'!AC20,'Data Tables'!AD20),IF($W$22="700-750",IF($W$23="Yes",'Data Tables'!AI20,'Data Tables'!AJ20),IF($W$22="750-800",IF($W$23="Yes",'Data Tables'!AI20,'Data Tables'!AJ20),IF($W$22="800-850",IF($W$23="Yes",'Data Tables'!AI20,'Data Tables'!AJ20),IF($W$23="Yes",'Data Tables'!AI20,'Data Tables'!AJ20))))))))))))),(IF($W$21="Freely draining",IF($W$22="550-575",IF($W$23="Yes",'Data Tables'!S31,'Data Tables'!T31),IF($W$22="575-600",IF($W$23="Yes",'Data Tables'!S31,'Data Tables'!T31),IF($W$22="600-625",IF($W$23="Yes",'Data Tables'!Y31,'Data Tables'!Z31),IF($W$22="625-650",IF($W$23="Yes",'Data Tables'!Y31,'Data Tables'!Z31),IF($W$22="650-675",IF($W$23="Yes",'Data Tables'!Y31,'Data Tables'!Z31),IF($W$22="675-700",IF($W$23="Yes",'Data Tables'!Y31,'Data Tables'!Z31),IF($W$22="700-750",IF($W$23="Yes",'Data Tables'!AE31,'Data Tables'!AF31),IF($W$22="750-800",IF($W$23="Yes",'Data Tables'!AE31,'Data Tables'!AF31),IF($W$22="800-850",IF($W$23="Yes",'Data Tables'!AE31,'Data Tables'!AF31),IF($W$23="Yes",'Data Tables'!AE31,'Data Tables'!AF31)))))))))),IF($W$21="Impermeable - drained for arable",IF($W$22="550-575",IF($W$23="Yes",'Data Tables'!U31,'Data Tables'!V31),IF($W$22="575-600",IF($W$23="Yes",'Data Tables'!U31,'Data Tables'!V31),IF($W$22="600-625",IF($W$23="Yes",'Data Tables'!AA31,'Data Tables'!AB31),IF($W$22="625-650",IF($W$23="Yes",'Data Tables'!AA31,'Data Tables'!AB31),IF($W$22="650-675",IF($W$23="Yes",'Data Tables'!AA31,'Data Tables'!AB31),IF($W$22="675-700",IF($W$23="Yes",'Data Tables'!AA31,'Data Tables'!AB31),IF($W$22="700-750",IF($W$23="Yes",'Data Tables'!AG31,'Data Tables'!AH31),IF($W$22="750-800",IF($W$23="Yes",'Data Tables'!AG31,'Data Tables'!AH31),IF($W$22="800-850",IF($W$23="Yes",'Data Tables'!AG31,'Data Tables'!AH31),IF($W$23="Yes",'Data Tables'!AG31,'Data Tables'!AH31)))))))))),IF($W$22="550-575",IF($W$23="Yes",'Data Tables'!W31,'Data Tables'!X31),IF($W$22="575-600",IF($W$23="Yes",'Data Tables'!W31,'Data Tables'!X31),IF($W$22="600-625",IF($W$23="Yes",'Data Tables'!AC31,'Data Tables'!AD31),IF($W$22="625-650",IF($W$23="Yes",'Data Tables'!AC31,'Data Tables'!AD31),IF($W$22="650-675",IF($W$23="Yes",'Data Tables'!AC31,'Data Tables'!AD31),IF($W$22="675-700",IF($W$23="Yes",'Data Tables'!AC31,'Data Tables'!AD31),IF($W$22="700-750",IF($W$23="Yes",'Data Tables'!AI31,'Data Tables'!AJ31),IF($W$22="750-800",IF($W$23="Yes",'Data Tables'!AI31,'Data Tables'!AJ31),IF($W$22="800-850",IF($W$23="Yes",'Data Tables'!AI31,'Data Tables'!AJ31),IF($W$23="Yes",'Data Tables'!AI31,'Data Tables'!AJ31))))))))))))))),0),"")</f>
        <v/>
      </c>
      <c r="Z35" s="330"/>
      <c r="AA35" s="313"/>
    </row>
    <row r="36" spans="2:27" ht="16.05" customHeight="1" x14ac:dyDescent="0.3">
      <c r="B36" s="46"/>
      <c r="C36" s="227"/>
      <c r="D36" s="227"/>
      <c r="E36" s="440" t="str">
        <f>'Stage 2'!F32</f>
        <v>Horticulture</v>
      </c>
      <c r="F36" s="440"/>
      <c r="G36" s="440"/>
      <c r="H36" s="440"/>
      <c r="I36" s="440"/>
      <c r="J36" s="49"/>
      <c r="K36" s="315" t="str">
        <f>IF('Stage 2'!$K32&gt;0,'Stage 2'!O32/'Stage 2'!$K32,"")</f>
        <v/>
      </c>
      <c r="L36" s="230"/>
      <c r="M36" s="238" t="s">
        <v>61</v>
      </c>
      <c r="N36" s="240" t="s">
        <v>78</v>
      </c>
      <c r="O36" s="258"/>
      <c r="P36" s="49"/>
      <c r="Q36" s="49"/>
      <c r="R36" s="440" t="str">
        <f t="shared" si="0"/>
        <v>Horticulture</v>
      </c>
      <c r="S36" s="440"/>
      <c r="T36" s="440"/>
      <c r="U36" s="440"/>
      <c r="V36" s="440"/>
      <c r="W36" s="238" t="s">
        <v>61</v>
      </c>
      <c r="X36" s="49"/>
      <c r="Y36" s="285" t="str">
        <f>IF($W$15="Yes",IF($W36="Yes",IF($W$20="Wensum",(IF($W$21="Freely draining",IF($W$22="550-575",IF($W$23="Yes",'Data Tables'!Y10,'Data Tables'!Z10),IF($W$22="575-600",IF($W$23="Yes",'Data Tables'!Y10,'Data Tables'!Z10),IF($W$22="600-625",IF($W$23="Yes",'Data Tables'!Y10,'Data Tables'!Z10),IF($W$22="625-650",IF($W$23="Yes",'Data Tables'!Y10,'Data Tables'!Z10),IF($W$22="650-675",IF($W$23="Yes",'Data Tables'!Y10,'Data Tables'!Z10),IF($W$22="675-700",IF($W$23="Yes",'Data Tables'!Y10,'Data Tables'!Z10),IF($W$22="700-750",IF($W$23="Yes",'Data Tables'!AE10,'Data Tables'!AF10),IF($W$22="750-800",IF($W$23="Yes",'Data Tables'!AE10,'Data Tables'!AF10),IF($W$22="800-850",IF($W$23="Yes",'Data Tables'!AE10,'Data Tables'!AF10),IF($W$23="Yes",'Data Tables'!AE10,'Data Tables'!AF10)))))))))),IF($W$21="Impermeable - drained for arable",IF($W$22="550-575",IF($W$23="Yes",'Data Tables'!AA10,'Data Tables'!AB10),IF($W$22="575-600",IF($W$23="Yes",'Data Tables'!AA10,'Data Tables'!AB10),IF($W$22="600-625",IF($W$23="Yes",'Data Tables'!AA10,'Data Tables'!AB10),IF($W$22="625-650",IF($W$23="Yes",'Data Tables'!AA10,'Data Tables'!AB10),IF($W$22="650-675",IF($W$23="Yes",'Data Tables'!AA10,'Data Tables'!AB10),IF($W$22="675-700",IF($W$23="Yes",'Data Tables'!AA10,'Data Tables'!AB10),IF($W$22="700-750",IF($W$23="Yes",'Data Tables'!AG10,'Data Tables'!AH10),IF($W$22="750-800",IF($W$23="Yes",'Data Tables'!AG10,'Data Tables'!AH10),IF($W$22="800-850",IF($W$23="Yes",'Data Tables'!AG10,'Data Tables'!AH10),IF($W$23="Yes",'Data Tables'!AG10,'Data Tables'!AH10)))))))))),IF($W$22="550-575",IF($W$23="Yes",'Data Tables'!AC10,'Data Tables'!AD10),IF($W$22="575-600",IF($W$23="Yes",'Data Tables'!AC10,'Data Tables'!AD10),IF($W$22="600-625",IF($W$23="Yes",'Data Tables'!AC10,'Data Tables'!AD10),IF($W$22="625-650",IF($W$23="Yes",'Data Tables'!AC10,'Data Tables'!AD10),IF($W$22="650-675",IF($W$23="Yes",'Data Tables'!AC10,'Data Tables'!AD10),IF($W$22="675-700",IF($W$23="Yes",'Data Tables'!AC10,'Data Tables'!AD10),IF($W$22="700-750",IF($W$23="Yes",'Data Tables'!AI10,'Data Tables'!AJ10),IF($W$22="750-800",IF($W$23="Yes",'Data Tables'!AI10,'Data Tables'!AJ10),IF($W$22="800-850",IF($W$23="Yes",'Data Tables'!AI10,'Data Tables'!AJ10),IF($W$23="Yes",'Data Tables'!AI10,'Data Tables'!AJ10))))))))))))),IF($W$20="Yare",(IF($W$21="Freely draining",IF($W$22="550-575",IF($W$23="Yes",'Data Tables'!Y21,'Data Tables'!Z21),IF($W$22="575-600",IF($W$23="Yes",'Data Tables'!Y21,'Data Tables'!Z21),IF($W$22="600-625",IF($W$23="Yes",'Data Tables'!Y21,'Data Tables'!Z21),IF($W$22="625-650",IF($W$23="Yes",'Data Tables'!Y21,'Data Tables'!Z21),IF($W$22="650-675",IF($W$23="Yes",'Data Tables'!Y21,'Data Tables'!Z21),IF($W$22="675-700",IF($W$23="Yes",'Data Tables'!Y21,'Data Tables'!Z21),IF($W$22="700-750",IF($W$23="Yes",'Data Tables'!AE21,'Data Tables'!AF21),IF($W$22="750-800",IF($W$23="Yes",'Data Tables'!AE21,'Data Tables'!AF21),IF($W$22="800-850",IF($W$23="Yes",'Data Tables'!AE21,'Data Tables'!AF21),IF($W$23="Yes",'Data Tables'!AE21,'Data Tables'!AF21)))))))))),IF($W$21="Impermeable - drained for arable",IF($W$22="550-575",IF($W$23="Yes",'Data Tables'!AA21,'Data Tables'!AB21),IF($W$22="575-600",IF($W$23="Yes",'Data Tables'!AA21,'Data Tables'!AB21),IF($W$22="600-625",IF($W$23="Yes",'Data Tables'!AA21,'Data Tables'!AB21),IF($W$22="625-650",IF($W$23="Yes",'Data Tables'!AA21,'Data Tables'!AB21),IF($W$22="650-675",IF($W$23="Yes",'Data Tables'!AA21,'Data Tables'!AB21),IF($W$22="675-700",IF($W$23="Yes",'Data Tables'!AA21,'Data Tables'!AB21),IF($W$22="700-750",IF($W$23="Yes",'Data Tables'!AG21,'Data Tables'!AH21),IF($W$22="750-800",IF($W$23="Yes",'Data Tables'!AG21,'Data Tables'!AH21),IF($W$22="800-850",IF($W$23="Yes",'Data Tables'!AG21,'Data Tables'!AH21),IF($W$23="Yes",'Data Tables'!AG21,'Data Tables'!AH21)))))))))),IF($W$22="550-575",IF($W$23="Yes",'Data Tables'!AC21,'Data Tables'!AD21),IF($W$22="575-600",IF($W$23="Yes",'Data Tables'!AC21,'Data Tables'!AD21),IF($W$22="600-625",IF($W$23="Yes",'Data Tables'!AC21,'Data Tables'!AD21),IF($W$22="625-650",IF($W$23="Yes",'Data Tables'!AC21,'Data Tables'!AD21),IF($W$22="650-675",IF($W$23="Yes",'Data Tables'!AC21,'Data Tables'!AD21),IF($W$22="675-700",IF($W$23="Yes",'Data Tables'!AC21,'Data Tables'!AD21),IF($W$22="700-750",IF($W$23="Yes",'Data Tables'!AI21,'Data Tables'!AJ21),IF($W$22="750-800",IF($W$23="Yes",'Data Tables'!AI21,'Data Tables'!AJ21),IF($W$22="800-850",IF($W$23="Yes",'Data Tables'!AI21,'Data Tables'!AJ21),IF($W$23="Yes",'Data Tables'!AI21,'Data Tables'!AJ21))))))))))))),(IF($W$21="Freely draining",IF($W$22="550-575",IF($W$23="Yes",'Data Tables'!S32,'Data Tables'!T32),IF($W$22="575-600",IF($W$23="Yes",'Data Tables'!S32,'Data Tables'!T32),IF($W$22="600-625",IF($W$23="Yes",'Data Tables'!Y32,'Data Tables'!Z32),IF($W$22="625-650",IF($W$23="Yes",'Data Tables'!Y32,'Data Tables'!Z32),IF($W$22="650-675",IF($W$23="Yes",'Data Tables'!Y32,'Data Tables'!Z32),IF($W$22="675-700",IF($W$23="Yes",'Data Tables'!Y32,'Data Tables'!Z32),IF($W$22="700-750",IF($W$23="Yes",'Data Tables'!AE32,'Data Tables'!AF32),IF($W$22="750-800",IF($W$23="Yes",'Data Tables'!AE32,'Data Tables'!AF32),IF($W$22="800-850",IF($W$23="Yes",'Data Tables'!AE32,'Data Tables'!AF32),IF($W$23="Yes",'Data Tables'!AE32,'Data Tables'!AF32)))))))))),IF($W$21="Impermeable - drained for arable",IF($W$22="550-575",IF($W$23="Yes",'Data Tables'!U32,'Data Tables'!V32),IF($W$22="575-600",IF($W$23="Yes",'Data Tables'!U32,'Data Tables'!V32),IF($W$22="600-625",IF($W$23="Yes",'Data Tables'!AA32,'Data Tables'!AB32),IF($W$22="625-650",IF($W$23="Yes",'Data Tables'!AA32,'Data Tables'!AB32),IF($W$22="650-675",IF($W$23="Yes",'Data Tables'!AA32,'Data Tables'!AB32),IF($W$22="675-700",IF($W$23="Yes",'Data Tables'!AA32,'Data Tables'!AB32),IF($W$22="700-750",IF($W$23="Yes",'Data Tables'!AG32,'Data Tables'!AH32),IF($W$22="750-800",IF($W$23="Yes",'Data Tables'!AG32,'Data Tables'!AH32),IF($W$22="800-850",IF($W$23="Yes",'Data Tables'!AG32,'Data Tables'!AH32),IF($W$23="Yes",'Data Tables'!AG32,'Data Tables'!AH32)))))))))),IF($W$22="550-575",IF($W$23="Yes",'Data Tables'!W32,'Data Tables'!X32),IF($W$22="575-600",IF($W$23="Yes",'Data Tables'!W32,'Data Tables'!X32),IF($W$22="600-625",IF($W$23="Yes",'Data Tables'!AC32,'Data Tables'!AD32),IF($W$22="625-650",IF($W$23="Yes",'Data Tables'!AC32,'Data Tables'!AD32),IF($W$22="650-675",IF($W$23="Yes",'Data Tables'!AC32,'Data Tables'!AD32),IF($W$22="675-700",IF($W$23="Yes",'Data Tables'!AC32,'Data Tables'!AD32),IF($W$22="700-750",IF($W$23="Yes",'Data Tables'!AI32,'Data Tables'!AJ32),IF($W$22="750-800",IF($W$23="Yes",'Data Tables'!AI32,'Data Tables'!AJ32),IF($W$22="800-850",IF($W$23="Yes",'Data Tables'!AI32,'Data Tables'!AJ32),IF($W$23="Yes",'Data Tables'!AI32,'Data Tables'!AJ32))))))))))))))),0),"")</f>
        <v/>
      </c>
      <c r="Z36" s="330"/>
      <c r="AA36" s="313"/>
    </row>
    <row r="37" spans="2:27" ht="16.05" customHeight="1" x14ac:dyDescent="0.3">
      <c r="B37" s="46"/>
      <c r="C37" s="227"/>
      <c r="D37" s="227"/>
      <c r="E37" s="440" t="str">
        <f>'Stage 2'!F33</f>
        <v>Cereals</v>
      </c>
      <c r="F37" s="440"/>
      <c r="G37" s="440"/>
      <c r="H37" s="440"/>
      <c r="I37" s="440"/>
      <c r="J37" s="49"/>
      <c r="K37" s="315" t="str">
        <f>IF('Stage 2'!$K33&gt;0,'Stage 2'!O33/'Stage 2'!$K33,"")</f>
        <v/>
      </c>
      <c r="L37" s="230"/>
      <c r="M37" s="238" t="s">
        <v>61</v>
      </c>
      <c r="N37" s="240" t="s">
        <v>78</v>
      </c>
      <c r="O37" s="258"/>
      <c r="P37" s="49"/>
      <c r="Q37" s="49"/>
      <c r="R37" s="440" t="str">
        <f t="shared" si="0"/>
        <v>Cereals</v>
      </c>
      <c r="S37" s="440"/>
      <c r="T37" s="440"/>
      <c r="U37" s="440"/>
      <c r="V37" s="440"/>
      <c r="W37" s="238" t="s">
        <v>61</v>
      </c>
      <c r="X37" s="49"/>
      <c r="Y37" s="285" t="str">
        <f>IF($W$15="Yes",IF($W37="Yes",IF($W$20="Wensum",(IF($W$21="Freely draining",IF($W$22="550-575",IF($W$23="Yes",'Data Tables'!Y11,'Data Tables'!Z11),IF($W$22="575-600",IF($W$23="Yes",'Data Tables'!Y11,'Data Tables'!Z11),IF($W$22="600-625",IF($W$23="Yes",'Data Tables'!Y11,'Data Tables'!Z11),IF($W$22="625-650",IF($W$23="Yes",'Data Tables'!Y11,'Data Tables'!Z11),IF($W$22="650-675",IF($W$23="Yes",'Data Tables'!Y11,'Data Tables'!Z11),IF($W$22="675-700",IF($W$23="Yes",'Data Tables'!Y11,'Data Tables'!Z11),IF($W$22="700-750",IF($W$23="Yes",'Data Tables'!AE11,'Data Tables'!AF11),IF($W$22="750-800",IF($W$23="Yes",'Data Tables'!AE11,'Data Tables'!AF11),IF($W$22="800-850",IF($W$23="Yes",'Data Tables'!AE11,'Data Tables'!AF11),IF($W$23="Yes",'Data Tables'!AE11,'Data Tables'!AF11)))))))))),IF($W$21="Impermeable - drained for arable",IF($W$22="550-575",IF($W$23="Yes",'Data Tables'!AA11,'Data Tables'!AB11),IF($W$22="575-600",IF($W$23="Yes",'Data Tables'!AA11,'Data Tables'!AB11),IF($W$22="600-625",IF($W$23="Yes",'Data Tables'!AA11,'Data Tables'!AB11),IF($W$22="625-650",IF($W$23="Yes",'Data Tables'!AA11,'Data Tables'!AB11),IF($W$22="650-675",IF($W$23="Yes",'Data Tables'!AA11,'Data Tables'!AB11),IF($W$22="675-700",IF($W$23="Yes",'Data Tables'!AA11,'Data Tables'!AB11),IF($W$22="700-750",IF($W$23="Yes",'Data Tables'!AG11,'Data Tables'!AH11),IF($W$22="750-800",IF($W$23="Yes",'Data Tables'!AG11,'Data Tables'!AH11),IF($W$22="800-850",IF($W$23="Yes",'Data Tables'!AG11,'Data Tables'!AH11),IF($W$23="Yes",'Data Tables'!AG11,'Data Tables'!AH11)))))))))),IF($W$22="550-575",IF($W$23="Yes",'Data Tables'!AC11,'Data Tables'!AD11),IF($W$22="575-600",IF($W$23="Yes",'Data Tables'!AC11,'Data Tables'!AD11),IF($W$22="600-625",IF($W$23="Yes",'Data Tables'!AC11,'Data Tables'!AD11),IF($W$22="625-650",IF($W$23="Yes",'Data Tables'!AC11,'Data Tables'!AD11),IF($W$22="650-675",IF($W$23="Yes",'Data Tables'!AC11,'Data Tables'!AD11),IF($W$22="675-700",IF($W$23="Yes",'Data Tables'!AC11,'Data Tables'!AD11),IF($W$22="700-750",IF($W$23="Yes",'Data Tables'!AI11,'Data Tables'!AJ11),IF($W$22="750-800",IF($W$23="Yes",'Data Tables'!AI11,'Data Tables'!AJ11),IF($W$22="800-850",IF($W$23="Yes",'Data Tables'!AI11,'Data Tables'!AJ11),IF($W$23="Yes",'Data Tables'!AI11,'Data Tables'!AJ11))))))))))))),IF($W$20="Yare",(IF($W$21="Freely draining",IF($W$22="550-575",IF($W$23="Yes",'Data Tables'!Y22,'Data Tables'!Z22),IF($W$22="575-600",IF($W$23="Yes",'Data Tables'!Y22,'Data Tables'!Z22),IF($W$22="600-625",IF($W$23="Yes",'Data Tables'!Y22,'Data Tables'!Z22),IF($W$22="625-650",IF($W$23="Yes",'Data Tables'!Y22,'Data Tables'!Z22),IF($W$22="650-675",IF($W$23="Yes",'Data Tables'!Y22,'Data Tables'!Z22),IF($W$22="675-700",IF($W$23="Yes",'Data Tables'!Y22,'Data Tables'!Z22),IF($W$22="700-750",IF($W$23="Yes",'Data Tables'!AE22,'Data Tables'!AF22),IF($W$22="750-800",IF($W$23="Yes",'Data Tables'!AE22,'Data Tables'!AF22),IF($W$22="800-850",IF($W$23="Yes",'Data Tables'!AE22,'Data Tables'!AF22),IF($W$23="Yes",'Data Tables'!AE22,'Data Tables'!AF22)))))))))),IF($W$21="Impermeable - drained for arable",IF($W$22="550-575",IF($W$23="Yes",'Data Tables'!AA22,'Data Tables'!AB22),IF($W$22="575-600",IF($W$23="Yes",'Data Tables'!AA22,'Data Tables'!AB22),IF($W$22="600-625",IF($W$23="Yes",'Data Tables'!AA22,'Data Tables'!AB22),IF($W$22="625-650",IF($W$23="Yes",'Data Tables'!AA22,'Data Tables'!AB22),IF($W$22="650-675",IF($W$23="Yes",'Data Tables'!AA22,'Data Tables'!AB22),IF($W$22="675-700",IF($W$23="Yes",'Data Tables'!AA22,'Data Tables'!AB22),IF($W$22="700-750",IF($W$23="Yes",'Data Tables'!AG22,'Data Tables'!AH22),IF($W$22="750-800",IF($W$23="Yes",'Data Tables'!AG22,'Data Tables'!AH22),IF($W$22="800-850",IF($W$23="Yes",'Data Tables'!AG22,'Data Tables'!AH22),IF($W$23="Yes",'Data Tables'!AG22,'Data Tables'!AH22)))))))))),IF($W$22="550-575",IF($W$23="Yes",'Data Tables'!AC22,'Data Tables'!AD22),IF($W$22="575-600",IF($W$23="Yes",'Data Tables'!AC22,'Data Tables'!AD22),IF($W$22="600-625",IF($W$23="Yes",'Data Tables'!AC22,'Data Tables'!AD22),IF($W$22="625-650",IF($W$23="Yes",'Data Tables'!AC22,'Data Tables'!AD22),IF($W$22="650-675",IF($W$23="Yes",'Data Tables'!AC22,'Data Tables'!AD22),IF($W$22="675-700",IF($W$23="Yes",'Data Tables'!AC22,'Data Tables'!AD22),IF($W$22="700-750",IF($W$23="Yes",'Data Tables'!AI22,'Data Tables'!AJ22),IF($W$22="750-800",IF($W$23="Yes",'Data Tables'!AI22,'Data Tables'!AJ22),IF($W$22="800-850",IF($W$23="Yes",'Data Tables'!AI22,'Data Tables'!AJ22),IF($W$23="Yes",'Data Tables'!AI22,'Data Tables'!AJ22))))))))))))),(IF($W$21="Freely draining",IF($W$22="550-575",IF($W$23="Yes",'Data Tables'!S33,'Data Tables'!T33),IF($W$22="575-600",IF($W$23="Yes",'Data Tables'!S33,'Data Tables'!T33),IF($W$22="600-625",IF($W$23="Yes",'Data Tables'!Y33,'Data Tables'!Z33),IF($W$22="625-650",IF($W$23="Yes",'Data Tables'!Y33,'Data Tables'!Z33),IF($W$22="650-675",IF($W$23="Yes",'Data Tables'!Y33,'Data Tables'!Z33),IF($W$22="675-700",IF($W$23="Yes",'Data Tables'!Y33,'Data Tables'!Z33),IF($W$22="700-750",IF($W$23="Yes",'Data Tables'!AE33,'Data Tables'!AF33),IF($W$22="750-800",IF($W$23="Yes",'Data Tables'!AE33,'Data Tables'!AF33),IF($W$22="800-850",IF($W$23="Yes",'Data Tables'!AE33,'Data Tables'!AF33),IF($W$23="Yes",'Data Tables'!AE33,'Data Tables'!AF33)))))))))),IF($W$21="Impermeable - drained for arable",IF($W$22="550-575",IF($W$23="Yes",'Data Tables'!U33,'Data Tables'!V33),IF($W$22="575-600",IF($W$23="Yes",'Data Tables'!U33,'Data Tables'!V33),IF($W$22="600-625",IF($W$23="Yes",'Data Tables'!AA33,'Data Tables'!AB33),IF($W$22="625-650",IF($W$23="Yes",'Data Tables'!AA33,'Data Tables'!AB33),IF($W$22="650-675",IF($W$23="Yes",'Data Tables'!AA33,'Data Tables'!AB33),IF($W$22="675-700",IF($W$23="Yes",'Data Tables'!AA33,'Data Tables'!AB33),IF($W$22="700-750",IF($W$23="Yes",'Data Tables'!AG33,'Data Tables'!AH33),IF($W$22="750-800",IF($W$23="Yes",'Data Tables'!AG33,'Data Tables'!AH33),IF($W$22="800-850",IF($W$23="Yes",'Data Tables'!AG33,'Data Tables'!AH33),IF($W$23="Yes",'Data Tables'!AG33,'Data Tables'!AH33)))))))))),IF($W$22="550-575",IF($W$23="Yes",'Data Tables'!W33,'Data Tables'!X33),IF($W$22="575-600",IF($W$23="Yes",'Data Tables'!W33,'Data Tables'!X33),IF($W$22="600-625",IF($W$23="Yes",'Data Tables'!AC33,'Data Tables'!AD33),IF($W$22="625-650",IF($W$23="Yes",'Data Tables'!AC33,'Data Tables'!AD33),IF($W$22="650-675",IF($W$23="Yes",'Data Tables'!AC33,'Data Tables'!AD33),IF($W$22="675-700",IF($W$23="Yes",'Data Tables'!AC33,'Data Tables'!AD33),IF($W$22="700-750",IF($W$23="Yes",'Data Tables'!AI33,'Data Tables'!AJ33),IF($W$22="750-800",IF($W$23="Yes",'Data Tables'!AI33,'Data Tables'!AJ33),IF($W$22="800-850",IF($W$23="Yes",'Data Tables'!AI33,'Data Tables'!AJ33),IF($W$23="Yes",'Data Tables'!AI33,'Data Tables'!AJ33))))))))))))))),0),"")</f>
        <v/>
      </c>
      <c r="Z37" s="330"/>
      <c r="AA37" s="313"/>
    </row>
    <row r="38" spans="2:27" ht="16.05" customHeight="1" x14ac:dyDescent="0.3">
      <c r="B38" s="46"/>
      <c r="C38" s="227"/>
      <c r="D38" s="227"/>
      <c r="E38" s="440" t="str">
        <f>'Stage 2'!F34</f>
        <v>General arable</v>
      </c>
      <c r="F38" s="440"/>
      <c r="G38" s="440"/>
      <c r="H38" s="440"/>
      <c r="I38" s="440"/>
      <c r="J38" s="49"/>
      <c r="K38" s="315" t="str">
        <f>IF('Stage 2'!$K34&gt;0,'Stage 2'!O34/'Stage 2'!$K34,"")</f>
        <v/>
      </c>
      <c r="L38" s="230"/>
      <c r="M38" s="238" t="s">
        <v>61</v>
      </c>
      <c r="N38" s="240" t="s">
        <v>78</v>
      </c>
      <c r="O38" s="258"/>
      <c r="P38" s="49"/>
      <c r="Q38" s="49"/>
      <c r="R38" s="440" t="str">
        <f t="shared" si="0"/>
        <v>General arable</v>
      </c>
      <c r="S38" s="440"/>
      <c r="T38" s="440"/>
      <c r="U38" s="440"/>
      <c r="V38" s="440"/>
      <c r="W38" s="238" t="s">
        <v>61</v>
      </c>
      <c r="X38" s="49"/>
      <c r="Y38" s="285" t="str">
        <f>IF($W$15="Yes",IF($W38="Yes",IF($W$20="Wensum",(IF($W$21="Freely draining",IF($W$22="550-575",IF($W$23="Yes",'Data Tables'!Y12,'Data Tables'!Z12),IF($W$22="575-600",IF($W$23="Yes",'Data Tables'!Y12,'Data Tables'!Z12),IF($W$22="600-625",IF($W$23="Yes",'Data Tables'!Y12,'Data Tables'!Z12),IF($W$22="625-650",IF($W$23="Yes",'Data Tables'!Y12,'Data Tables'!Z12),IF($W$22="650-675",IF($W$23="Yes",'Data Tables'!Y12,'Data Tables'!Z12),IF($W$22="675-700",IF($W$23="Yes",'Data Tables'!Y12,'Data Tables'!Z12),IF($W$22="700-750",IF($W$23="Yes",'Data Tables'!AE12,'Data Tables'!AF12),IF($W$22="750-800",IF($W$23="Yes",'Data Tables'!AE12,'Data Tables'!AF12),IF($W$22="800-850",IF($W$23="Yes",'Data Tables'!AE12,'Data Tables'!AF12),IF($W$23="Yes",'Data Tables'!AE12,'Data Tables'!AF12)))))))))),IF($W$21="Impermeable - drained for arable",IF($W$22="550-575",IF($W$23="Yes",'Data Tables'!AA12,'Data Tables'!AB12),IF($W$22="575-600",IF($W$23="Yes",'Data Tables'!AA12,'Data Tables'!AB12),IF($W$22="600-625",IF($W$23="Yes",'Data Tables'!AA12,'Data Tables'!AB12),IF($W$22="625-650",IF($W$23="Yes",'Data Tables'!AA12,'Data Tables'!AB12),IF($W$22="650-675",IF($W$23="Yes",'Data Tables'!AA12,'Data Tables'!AB12),IF($W$22="675-700",IF($W$23="Yes",'Data Tables'!AA12,'Data Tables'!AB12),IF($W$22="700-750",IF($W$23="Yes",'Data Tables'!AG12,'Data Tables'!AH12),IF($W$22="750-800",IF($W$23="Yes",'Data Tables'!AG12,'Data Tables'!AH12),IF($W$22="800-850",IF($W$23="Yes",'Data Tables'!AG12,'Data Tables'!AH12),IF($W$23="Yes",'Data Tables'!AG12,'Data Tables'!AH12)))))))))),IF($W$22="550-575",IF($W$23="Yes",'Data Tables'!AC12,'Data Tables'!AD12),IF($W$22="575-600",IF($W$23="Yes",'Data Tables'!AC12,'Data Tables'!AD12),IF($W$22="600-625",IF($W$23="Yes",'Data Tables'!AC12,'Data Tables'!AD12),IF($W$22="625-650",IF($W$23="Yes",'Data Tables'!AC12,'Data Tables'!AD12),IF($W$22="650-675",IF($W$23="Yes",'Data Tables'!AC12,'Data Tables'!AD12),IF($W$22="675-700",IF($W$23="Yes",'Data Tables'!AC12,'Data Tables'!AD12),IF($W$22="700-750",IF($W$23="Yes",'Data Tables'!AI12,'Data Tables'!AJ12),IF($W$22="750-800",IF($W$23="Yes",'Data Tables'!AI12,'Data Tables'!AJ12),IF($W$22="800-850",IF($W$23="Yes",'Data Tables'!AI12,'Data Tables'!AJ12),IF($W$23="Yes",'Data Tables'!AI12,'Data Tables'!AJ12))))))))))))),IF($W$20="Yare",(IF($W$21="Freely draining",IF($W$22="550-575",IF($W$23="Yes",'Data Tables'!Y23,'Data Tables'!Z23),IF($W$22="575-600",IF($W$23="Yes",'Data Tables'!Y23,'Data Tables'!Z23),IF($W$22="600-625",IF($W$23="Yes",'Data Tables'!Y23,'Data Tables'!Z23),IF($W$22="625-650",IF($W$23="Yes",'Data Tables'!Y23,'Data Tables'!Z23),IF($W$22="650-675",IF($W$23="Yes",'Data Tables'!Y23,'Data Tables'!Z23),IF($W$22="675-700",IF($W$23="Yes",'Data Tables'!Y23,'Data Tables'!Z23),IF($W$22="700-750",IF($W$23="Yes",'Data Tables'!AE23,'Data Tables'!AF23),IF($W$22="750-800",IF($W$23="Yes",'Data Tables'!AE23,'Data Tables'!AF23),IF($W$22="800-850",IF($W$23="Yes",'Data Tables'!AE23,'Data Tables'!AF23),IF($W$23="Yes",'Data Tables'!AE23,'Data Tables'!AF23)))))))))),IF($W$21="Impermeable - drained for arable",IF($W$22="550-575",IF($W$23="Yes",'Data Tables'!AA23,'Data Tables'!AB23),IF($W$22="575-600",IF($W$23="Yes",'Data Tables'!AA23,'Data Tables'!AB23),IF($W$22="600-625",IF($W$23="Yes",'Data Tables'!AA23,'Data Tables'!AB23),IF($W$22="625-650",IF($W$23="Yes",'Data Tables'!AA23,'Data Tables'!AB23),IF($W$22="650-675",IF($W$23="Yes",'Data Tables'!AA23,'Data Tables'!AB23),IF($W$22="675-700",IF($W$23="Yes",'Data Tables'!AA23,'Data Tables'!AB23),IF($W$22="700-750",IF($W$23="Yes",'Data Tables'!AG23,'Data Tables'!AH23),IF($W$22="750-800",IF($W$23="Yes",'Data Tables'!AG23,'Data Tables'!AH23),IF($W$22="800-850",IF($W$23="Yes",'Data Tables'!AG23,'Data Tables'!AH23),IF($W$23="Yes",'Data Tables'!AG23,'Data Tables'!AH23)))))))))),IF($W$22="550-575",IF($W$23="Yes",'Data Tables'!AC23,'Data Tables'!AD23),IF($W$22="575-600",IF($W$23="Yes",'Data Tables'!AC23,'Data Tables'!AD23),IF($W$22="600-625",IF($W$23="Yes",'Data Tables'!AC23,'Data Tables'!AD23),IF($W$22="625-650",IF($W$23="Yes",'Data Tables'!AC23,'Data Tables'!AD23),IF($W$22="650-675",IF($W$23="Yes",'Data Tables'!AC23,'Data Tables'!AD23),IF($W$22="675-700",IF($W$23="Yes",'Data Tables'!AC23,'Data Tables'!AD23),IF($W$22="700-750",IF($W$23="Yes",'Data Tables'!AI23,'Data Tables'!AJ23),IF($W$22="750-800",IF($W$23="Yes",'Data Tables'!AI23,'Data Tables'!AJ23),IF($W$22="800-850",IF($W$23="Yes",'Data Tables'!AI23,'Data Tables'!AJ23),IF($W$23="Yes",'Data Tables'!AI23,'Data Tables'!AJ23))))))))))))),(IF($W$21="Freely draining",IF($W$22="550-575",IF($W$23="Yes",'Data Tables'!S34,'Data Tables'!T34),IF($W$22="575-600",IF($W$23="Yes",'Data Tables'!S34,'Data Tables'!T34),IF($W$22="600-625",IF($W$23="Yes",'Data Tables'!Y34,'Data Tables'!Z34),IF($W$22="625-650",IF($W$23="Yes",'Data Tables'!Y34,'Data Tables'!Z34),IF($W$22="650-675",IF($W$23="Yes",'Data Tables'!Y34,'Data Tables'!Z34),IF($W$22="675-700",IF($W$23="Yes",'Data Tables'!Y34,'Data Tables'!Z34),IF($W$22="700-750",IF($W$23="Yes",'Data Tables'!AE34,'Data Tables'!AF34),IF($W$22="750-800",IF($W$23="Yes",'Data Tables'!AE34,'Data Tables'!AF34),IF($W$22="800-850",IF($W$23="Yes",'Data Tables'!AE34,'Data Tables'!AF34),IF($W$23="Yes",'Data Tables'!AE34,'Data Tables'!AF34)))))))))),IF($W$21="Impermeable - drained for arable",IF($W$22="550-575",IF($W$23="Yes",'Data Tables'!U34,'Data Tables'!V34),IF($W$22="575-600",IF($W$23="Yes",'Data Tables'!U34,'Data Tables'!V34),IF($W$22="600-625",IF($W$23="Yes",'Data Tables'!AA34,'Data Tables'!AB34),IF($W$22="625-650",IF($W$23="Yes",'Data Tables'!AA34,'Data Tables'!AB34),IF($W$22="650-675",IF($W$23="Yes",'Data Tables'!AA34,'Data Tables'!AB34),IF($W$22="675-700",IF($W$23="Yes",'Data Tables'!AA34,'Data Tables'!AB34),IF($W$22="700-750",IF($W$23="Yes",'Data Tables'!AG34,'Data Tables'!AH34),IF($W$22="750-800",IF($W$23="Yes",'Data Tables'!AG34,'Data Tables'!AH34),IF($W$22="800-850",IF($W$23="Yes",'Data Tables'!AG34,'Data Tables'!AH34),IF($W$23="Yes",'Data Tables'!AG34,'Data Tables'!AH34)))))))))),IF($W$22="550-575",IF($W$23="Yes",'Data Tables'!W34,'Data Tables'!X34),IF($W$22="575-600",IF($W$23="Yes",'Data Tables'!W34,'Data Tables'!X34),IF($W$22="600-625",IF($W$23="Yes",'Data Tables'!AC34,'Data Tables'!AD34),IF($W$22="625-650",IF($W$23="Yes",'Data Tables'!AC34,'Data Tables'!AD34),IF($W$22="650-675",IF($W$23="Yes",'Data Tables'!AC34,'Data Tables'!AD34),IF($W$22="675-700",IF($W$23="Yes",'Data Tables'!AC34,'Data Tables'!AD34),IF($W$22="700-750",IF($W$23="Yes",'Data Tables'!AI34,'Data Tables'!AJ34),IF($W$22="750-800",IF($W$23="Yes",'Data Tables'!AI34,'Data Tables'!AJ34),IF($W$22="800-850",IF($W$23="Yes",'Data Tables'!AI34,'Data Tables'!AJ34),IF($W$23="Yes",'Data Tables'!AI34,'Data Tables'!AJ34))))))))))))))),0),"")</f>
        <v/>
      </c>
      <c r="Z38" s="330"/>
      <c r="AA38" s="313"/>
    </row>
    <row r="39" spans="2:27" ht="16.05" customHeight="1" x14ac:dyDescent="0.3">
      <c r="B39" s="46"/>
      <c r="C39" s="227"/>
      <c r="D39" s="227"/>
      <c r="E39" s="440" t="str">
        <f>'Stage 2'!F35</f>
        <v>Allotments and city farms</v>
      </c>
      <c r="F39" s="440"/>
      <c r="G39" s="440"/>
      <c r="H39" s="440"/>
      <c r="I39" s="440"/>
      <c r="J39" s="49"/>
      <c r="K39" s="290" t="str">
        <f>IF('Stage 2'!K35&gt;0,'Data Tables'!O3,"")</f>
        <v/>
      </c>
      <c r="L39" s="269"/>
      <c r="M39" s="238" t="s">
        <v>61</v>
      </c>
      <c r="N39" s="240" t="s">
        <v>78</v>
      </c>
      <c r="O39" s="258"/>
      <c r="P39" s="49"/>
      <c r="Q39" s="49"/>
      <c r="R39" s="440" t="str">
        <f t="shared" si="0"/>
        <v>Allotments and city farms</v>
      </c>
      <c r="S39" s="440"/>
      <c r="T39" s="440"/>
      <c r="U39" s="440"/>
      <c r="V39" s="440"/>
      <c r="W39" s="238" t="s">
        <v>61</v>
      </c>
      <c r="X39" s="49"/>
      <c r="Y39" s="285" t="str">
        <f>IF($W$15="Yes",IF($W39="Yes",IF($W$20="Wensum",(IF($W$21="Freely draining",IF($W$22="550-575",IF($W$23="Yes",'Data Tables'!Y13,'Data Tables'!Z13),IF($W$22="575-600",IF($W$23="Yes",'Data Tables'!Y13,'Data Tables'!Z13),IF($W$22="600-625",IF($W$23="Yes",'Data Tables'!Y13,'Data Tables'!Z13),IF($W$22="625-650",IF($W$23="Yes",'Data Tables'!Y13,'Data Tables'!Z13),IF($W$22="650-675",IF($W$23="Yes",'Data Tables'!Y13,'Data Tables'!Z13),IF($W$22="675-700",IF($W$23="Yes",'Data Tables'!Y13,'Data Tables'!Z13),IF($W$22="700-750",IF($W$23="Yes",'Data Tables'!AE13,'Data Tables'!AF13),IF($W$22="750-800",IF($W$23="Yes",'Data Tables'!AE13,'Data Tables'!AF13),IF($W$22="800-850",IF($W$23="Yes",'Data Tables'!AE13,'Data Tables'!AF13),IF($W$23="Yes",'Data Tables'!AE13,'Data Tables'!AF13)))))))))),IF($W$21="Impermeable - drained for arable",IF($W$22="550-575",IF($W$23="Yes",'Data Tables'!AA13,'Data Tables'!AB13),IF($W$22="575-600",IF($W$23="Yes",'Data Tables'!AA13,'Data Tables'!AB13),IF($W$22="600-625",IF($W$23="Yes",'Data Tables'!AA13,'Data Tables'!AB13),IF($W$22="625-650",IF($W$23="Yes",'Data Tables'!AA13,'Data Tables'!AB13),IF($W$22="650-675",IF($W$23="Yes",'Data Tables'!AA13,'Data Tables'!AB13),IF($W$22="675-700",IF($W$23="Yes",'Data Tables'!AA13,'Data Tables'!AB13),IF($W$22="700-750",IF($W$23="Yes",'Data Tables'!AG13,'Data Tables'!AH13),IF($W$22="750-800",IF($W$23="Yes",'Data Tables'!AG13,'Data Tables'!AH13),IF($W$22="800-850",IF($W$23="Yes",'Data Tables'!AG13,'Data Tables'!AH13),IF($W$23="Yes",'Data Tables'!AG13,'Data Tables'!AH13)))))))))),IF($W$22="550-575",IF($W$23="Yes",'Data Tables'!AC13,'Data Tables'!AD13),IF($W$22="575-600",IF($W$23="Yes",'Data Tables'!AC13,'Data Tables'!AD13),IF($W$22="600-625",IF($W$23="Yes",'Data Tables'!AC13,'Data Tables'!AD13),IF($W$22="625-650",IF($W$23="Yes",'Data Tables'!AC13,'Data Tables'!AD13),IF($W$22="650-675",IF($W$23="Yes",'Data Tables'!AC13,'Data Tables'!AD13),IF($W$22="675-700",IF($W$23="Yes",'Data Tables'!AC13,'Data Tables'!AD13),IF($W$22="700-750",IF($W$23="Yes",'Data Tables'!AI13,'Data Tables'!AJ13),IF($W$22="750-800",IF($W$23="Yes",'Data Tables'!AI13,'Data Tables'!AJ13),IF($W$22="800-850",IF($W$23="Yes",'Data Tables'!AI13,'Data Tables'!AJ13),IF($W$23="Yes",'Data Tables'!AI13,'Data Tables'!AJ13))))))))))))),IF($W$20="Yare",(IF($W$21="Freely draining",IF($W$22="550-575",IF($W$23="Yes",'Data Tables'!Y24,'Data Tables'!Z24),IF($W$22="575-600",IF($W$23="Yes",'Data Tables'!Y24,'Data Tables'!Z24),IF($W$22="600-625",IF($W$23="Yes",'Data Tables'!Y24,'Data Tables'!Z24),IF($W$22="625-650",IF($W$23="Yes",'Data Tables'!Y24,'Data Tables'!Z24),IF($W$22="650-675",IF($W$23="Yes",'Data Tables'!Y24,'Data Tables'!Z24),IF($W$22="675-700",IF($W$23="Yes",'Data Tables'!Y24,'Data Tables'!Z24),IF($W$22="700-750",IF($W$23="Yes",'Data Tables'!AE24,'Data Tables'!AF24),IF($W$22="750-800",IF($W$23="Yes",'Data Tables'!AE24,'Data Tables'!AF24),IF($W$22="800-850",IF($W$23="Yes",'Data Tables'!AE24,'Data Tables'!AF24),IF($W$23="Yes",'Data Tables'!AE24,'Data Tables'!AF24)))))))))),IF($W$21="Impermeable - drained for arable",IF($W$22="550-575",IF($W$23="Yes",'Data Tables'!AA24,'Data Tables'!AB24),IF($W$22="575-600",IF($W$23="Yes",'Data Tables'!AA24,'Data Tables'!AB24),IF($W$22="600-625",IF($W$23="Yes",'Data Tables'!AA24,'Data Tables'!AB24),IF($W$22="625-650",IF($W$23="Yes",'Data Tables'!AA24,'Data Tables'!AB24),IF($W$22="650-675",IF($W$23="Yes",'Data Tables'!AA24,'Data Tables'!AB24),IF($W$22="675-700",IF($W$23="Yes",'Data Tables'!AA24,'Data Tables'!AB24),IF($W$22="700-750",IF($W$23="Yes",'Data Tables'!AG24,'Data Tables'!AH24),IF($W$22="750-800",IF($W$23="Yes",'Data Tables'!AG24,'Data Tables'!AH24),IF($W$22="800-850",IF($W$23="Yes",'Data Tables'!AG24,'Data Tables'!AH24),IF($W$23="Yes",'Data Tables'!AG24,'Data Tables'!AH24)))))))))),IF($W$22="550-575",IF($W$23="Yes",'Data Tables'!AC24,'Data Tables'!AD24),IF($W$22="575-600",IF($W$23="Yes",'Data Tables'!AC24,'Data Tables'!AD24),IF($W$22="600-625",IF($W$23="Yes",'Data Tables'!AC24,'Data Tables'!AD24),IF($W$22="625-650",IF($W$23="Yes",'Data Tables'!AC24,'Data Tables'!AD24),IF($W$22="650-675",IF($W$23="Yes",'Data Tables'!AC24,'Data Tables'!AD24),IF($W$22="675-700",IF($W$23="Yes",'Data Tables'!AC24,'Data Tables'!AD24),IF($W$22="700-750",IF($W$23="Yes",'Data Tables'!AI24,'Data Tables'!AJ24),IF($W$22="750-800",IF($W$23="Yes",'Data Tables'!AI24,'Data Tables'!AJ24),IF($W$22="800-850",IF($W$23="Yes",'Data Tables'!AI24,'Data Tables'!AJ24),IF($W$23="Yes",'Data Tables'!AI24,'Data Tables'!AJ24))))))))))))),(IF($W$21="Freely draining",IF($W$22="550-575",IF($W$23="Yes",'Data Tables'!S35,'Data Tables'!T35),IF($W$22="575-600",IF($W$23="Yes",'Data Tables'!S35,'Data Tables'!T35),IF($W$22="600-625",IF($W$23="Yes",'Data Tables'!Y35,'Data Tables'!Z35),IF($W$22="625-650",IF($W$23="Yes",'Data Tables'!Y35,'Data Tables'!Z35),IF($W$22="650-675",IF($W$23="Yes",'Data Tables'!Y35,'Data Tables'!Z35),IF($W$22="675-700",IF($W$23="Yes",'Data Tables'!Y35,'Data Tables'!Z35),IF($W$22="700-750",IF($W$23="Yes",'Data Tables'!AE35,'Data Tables'!AF35),IF($W$22="750-800",IF($W$23="Yes",'Data Tables'!AE35,'Data Tables'!AF35),IF($W$22="800-850",IF($W$23="Yes",'Data Tables'!AE35,'Data Tables'!AF35),IF($W$23="Yes",'Data Tables'!AE35,'Data Tables'!AF35)))))))))),IF($W$21="Impermeable - drained for arable",IF($W$22="550-575",IF($W$23="Yes",'Data Tables'!U35,'Data Tables'!V35),IF($W$22="575-600",IF($W$23="Yes",'Data Tables'!U35,'Data Tables'!V35),IF($W$22="600-625",IF($W$23="Yes",'Data Tables'!AA35,'Data Tables'!AB35),IF($W$22="625-650",IF($W$23="Yes",'Data Tables'!AA35,'Data Tables'!AB35),IF($W$22="650-675",IF($W$23="Yes",'Data Tables'!AA35,'Data Tables'!AB35),IF($W$22="675-700",IF($W$23="Yes",'Data Tables'!AA35,'Data Tables'!AB35),IF($W$22="700-750",IF($W$23="Yes",'Data Tables'!AG35,'Data Tables'!AH35),IF($W$22="750-800",IF($W$23="Yes",'Data Tables'!AG35,'Data Tables'!AH35),IF($W$22="800-850",IF($W$23="Yes",'Data Tables'!AG35,'Data Tables'!AH35),IF($W$23="Yes",'Data Tables'!AG35,'Data Tables'!AH35)))))))))),IF($W$22="550-575",IF($W$23="Yes",'Data Tables'!W35,'Data Tables'!X35),IF($W$22="575-600",IF($W$23="Yes",'Data Tables'!W35,'Data Tables'!X35),IF($W$22="600-625",IF($W$23="Yes",'Data Tables'!AC35,'Data Tables'!AD35),IF($W$22="625-650",IF($W$23="Yes",'Data Tables'!AC35,'Data Tables'!AD35),IF($W$22="650-675",IF($W$23="Yes",'Data Tables'!AC35,'Data Tables'!AD35),IF($W$22="675-700",IF($W$23="Yes",'Data Tables'!AC35,'Data Tables'!AD35),IF($W$22="700-750",IF($W$23="Yes",'Data Tables'!AI35,'Data Tables'!AJ35),IF($W$22="750-800",IF($W$23="Yes",'Data Tables'!AI35,'Data Tables'!AJ35),IF($W$22="800-850",IF($W$23="Yes",'Data Tables'!AI35,'Data Tables'!AJ35),IF($W$23="Yes",'Data Tables'!AI35,'Data Tables'!AJ35))))))))))))))),0),"")</f>
        <v/>
      </c>
      <c r="Z39" s="330"/>
      <c r="AA39" s="313"/>
    </row>
    <row r="40" spans="2:27" ht="16.05" customHeight="1" x14ac:dyDescent="0.3">
      <c r="B40" s="46"/>
      <c r="C40" s="227"/>
      <c r="D40" s="227"/>
      <c r="E40" s="440" t="str">
        <f>'Stage 2'!F36</f>
        <v>Woodland (e.g. conifer, mixed, broad-leaved)</v>
      </c>
      <c r="F40" s="440"/>
      <c r="G40" s="440"/>
      <c r="H40" s="440"/>
      <c r="I40" s="440"/>
      <c r="J40" s="49"/>
      <c r="K40" s="290" t="str">
        <f>IF('Stage 2'!K36&gt;0,'Data Tables'!O5,"")</f>
        <v/>
      </c>
      <c r="L40" s="269"/>
      <c r="M40" s="238" t="s">
        <v>61</v>
      </c>
      <c r="N40" s="240" t="s">
        <v>78</v>
      </c>
      <c r="O40" s="258"/>
      <c r="P40" s="49"/>
      <c r="Q40" s="49"/>
      <c r="R40" s="440" t="str">
        <f t="shared" si="0"/>
        <v>Woodland (e.g. conifer, mixed, broad-leaved)</v>
      </c>
      <c r="S40" s="440"/>
      <c r="T40" s="440"/>
      <c r="U40" s="440"/>
      <c r="V40" s="440"/>
      <c r="W40" s="238" t="s">
        <v>61</v>
      </c>
      <c r="X40" s="49"/>
      <c r="Y40" s="285" t="str">
        <f>IF($W$15="Yes",(IF(W40="Yes",'Data Tables'!O5,0)),"")</f>
        <v/>
      </c>
      <c r="Z40" s="330"/>
      <c r="AA40" s="313"/>
    </row>
    <row r="41" spans="2:27" ht="16.05" customHeight="1" x14ac:dyDescent="0.3">
      <c r="B41" s="46"/>
      <c r="C41" s="227"/>
      <c r="D41" s="227"/>
      <c r="E41" s="440" t="str">
        <f>'Stage 2'!F37</f>
        <v>Greenspace</v>
      </c>
      <c r="F41" s="440"/>
      <c r="G41" s="440"/>
      <c r="H41" s="440"/>
      <c r="I41" s="440"/>
      <c r="J41" s="49"/>
      <c r="K41" s="290" t="str">
        <f>IF('Stage 2'!K37&gt;0,'Data Tables'!O4,"")</f>
        <v/>
      </c>
      <c r="L41" s="269"/>
      <c r="M41" s="238" t="s">
        <v>61</v>
      </c>
      <c r="N41" s="240" t="s">
        <v>78</v>
      </c>
      <c r="O41" s="258"/>
      <c r="P41" s="49"/>
      <c r="Q41" s="49"/>
      <c r="R41" s="440" t="str">
        <f t="shared" si="0"/>
        <v>Greenspace</v>
      </c>
      <c r="S41" s="440"/>
      <c r="T41" s="440"/>
      <c r="U41" s="440"/>
      <c r="V41" s="440"/>
      <c r="W41" s="238" t="s">
        <v>61</v>
      </c>
      <c r="X41" s="49"/>
      <c r="Y41" s="285" t="str">
        <f>IF($W$15="Yes",(IF(W41="Yes",'Data Tables'!O4,0)),"")</f>
        <v/>
      </c>
      <c r="Z41" s="330"/>
      <c r="AA41" s="313"/>
    </row>
    <row r="42" spans="2:27" ht="16.05" customHeight="1" x14ac:dyDescent="0.3">
      <c r="B42" s="46"/>
      <c r="C42" s="227"/>
      <c r="D42" s="227"/>
      <c r="E42" s="440" t="str">
        <f>'Stage 2'!F38</f>
        <v>Shrub / heathland / bracken / bog</v>
      </c>
      <c r="F42" s="440"/>
      <c r="G42" s="440"/>
      <c r="H42" s="440"/>
      <c r="I42" s="440"/>
      <c r="J42" s="49"/>
      <c r="K42" s="290" t="str">
        <f>IF('Stage 2'!K38&gt;0,'Data Tables'!O6,"")</f>
        <v/>
      </c>
      <c r="L42" s="269"/>
      <c r="M42" s="238" t="s">
        <v>61</v>
      </c>
      <c r="N42" s="240" t="s">
        <v>78</v>
      </c>
      <c r="O42" s="258"/>
      <c r="P42" s="49"/>
      <c r="Q42" s="49"/>
      <c r="R42" s="440" t="str">
        <f t="shared" si="0"/>
        <v>Shrub / heathland / bracken / bog</v>
      </c>
      <c r="S42" s="440"/>
      <c r="T42" s="440"/>
      <c r="U42" s="440"/>
      <c r="V42" s="440"/>
      <c r="W42" s="238" t="s">
        <v>61</v>
      </c>
      <c r="X42" s="49"/>
      <c r="Y42" s="285" t="str">
        <f>IF($W$15="Yes",(IF(W42="Yes",'Data Tables'!O6,0)),"")</f>
        <v/>
      </c>
      <c r="Z42" s="330"/>
      <c r="AA42" s="313"/>
    </row>
    <row r="43" spans="2:27" ht="15" customHeight="1" x14ac:dyDescent="0.3">
      <c r="B43" s="46"/>
      <c r="C43" s="227"/>
      <c r="D43" s="227"/>
      <c r="E43" s="440" t="str">
        <f>'Stage 2'!F39</f>
        <v>Water</v>
      </c>
      <c r="F43" s="440"/>
      <c r="G43" s="440"/>
      <c r="H43" s="440"/>
      <c r="I43" s="440"/>
      <c r="J43" s="49"/>
      <c r="K43" s="290" t="str">
        <f>IF('Stage 2'!K39&gt;0,'Data Tables'!O7,"")</f>
        <v/>
      </c>
      <c r="L43" s="269"/>
      <c r="M43" s="238" t="s">
        <v>61</v>
      </c>
      <c r="N43" s="240" t="s">
        <v>78</v>
      </c>
      <c r="O43" s="258"/>
      <c r="P43" s="49"/>
      <c r="Q43" s="49"/>
      <c r="R43" s="440" t="str">
        <f t="shared" si="0"/>
        <v>Water</v>
      </c>
      <c r="S43" s="440"/>
      <c r="T43" s="440"/>
      <c r="U43" s="440"/>
      <c r="V43" s="440"/>
      <c r="W43" s="238" t="s">
        <v>61</v>
      </c>
      <c r="X43" s="49"/>
      <c r="Y43" s="285" t="str">
        <f>IF($W$15="Yes",(IF(W43="Yes",'Data Tables'!O7,0)),"")</f>
        <v/>
      </c>
      <c r="Z43" s="330"/>
      <c r="AA43" s="313"/>
    </row>
    <row r="44" spans="2:27" ht="16.05" customHeight="1" x14ac:dyDescent="0.3">
      <c r="B44" s="46"/>
      <c r="C44" s="227"/>
      <c r="D44" s="227"/>
      <c r="E44" s="49"/>
      <c r="F44" s="38"/>
      <c r="G44" s="49"/>
      <c r="H44" s="49"/>
      <c r="I44" s="49"/>
      <c r="J44" s="49"/>
      <c r="K44" s="269"/>
      <c r="L44" s="269"/>
      <c r="M44" s="49"/>
      <c r="N44" s="246"/>
      <c r="O44" s="258"/>
      <c r="P44" s="49"/>
      <c r="Q44" s="49"/>
      <c r="R44" s="49"/>
      <c r="S44" s="49"/>
      <c r="T44" s="49"/>
      <c r="U44" s="49"/>
      <c r="V44" s="49"/>
      <c r="W44" s="144" t="s">
        <v>429</v>
      </c>
      <c r="X44" s="49"/>
      <c r="Y44" s="49"/>
      <c r="Z44" s="49"/>
      <c r="AA44" s="313"/>
    </row>
    <row r="45" spans="2:27" ht="16.05" customHeight="1" x14ac:dyDescent="0.3">
      <c r="B45" s="46"/>
      <c r="C45" s="227"/>
      <c r="D45" s="227"/>
      <c r="E45" s="453" t="s">
        <v>86</v>
      </c>
      <c r="F45" s="453"/>
      <c r="G45" s="453"/>
      <c r="H45" s="453"/>
      <c r="I45" s="453"/>
      <c r="J45" s="49"/>
      <c r="K45" s="273">
        <f>IF(K15="Yes",(IF(M21="Yes",K21,0)+IF(M26="Yes",K26,0)+IF(M27="Yes",K27,0)+IF(M28="Yes",K28,0)+IF(M29="Yes",K29,0)+IF(M30="Yes",K30,0)+IF(M31="Yes",K31,0)+IF(M32="Yes",K32,0)+IF(M33="Yes",K33,0)+IF(M34="Yes",K34,0)+IF(M35="Yes",K35,0)+IF(M36="Yes",K36,0)+IF(M37="Yes",K37,0)+IF(M38="Yes",K38,0)+IF(M39="Yes",K39,0)+IF(M40="Yes",K40,0)+IF(M41="Yes",K41,0)+IF(M42="Yes",K42,0)+IF(M43="Yes",K43,0))/COUNTIF(M21:M43,"Yes"),0)</f>
        <v>0</v>
      </c>
      <c r="L45" s="269"/>
      <c r="M45" s="49"/>
      <c r="N45" s="246"/>
      <c r="O45" s="258"/>
      <c r="P45" s="49"/>
      <c r="Q45" s="49"/>
      <c r="R45" s="453" t="s">
        <v>87</v>
      </c>
      <c r="S45" s="453"/>
      <c r="T45" s="453"/>
      <c r="U45" s="453"/>
      <c r="V45" s="453"/>
      <c r="W45" s="291">
        <f>IF(W15="Yes",SUM(Y26:Y43)/(COUNTIF(W26:W43,"Yes")),0)</f>
        <v>0</v>
      </c>
      <c r="X45" s="316"/>
      <c r="Y45" s="226"/>
      <c r="Z45" s="226"/>
      <c r="AA45" s="313"/>
    </row>
    <row r="46" spans="2:27" ht="16.05" customHeight="1" x14ac:dyDescent="0.3">
      <c r="B46" s="46"/>
      <c r="C46" s="227"/>
      <c r="D46" s="227"/>
      <c r="E46" s="281"/>
      <c r="F46" s="281"/>
      <c r="G46" s="281"/>
      <c r="H46" s="281"/>
      <c r="I46" s="281"/>
      <c r="J46" s="49"/>
      <c r="K46" s="269"/>
      <c r="L46" s="269"/>
      <c r="M46" s="49"/>
      <c r="N46" s="246"/>
      <c r="O46" s="49"/>
      <c r="P46" s="49"/>
      <c r="Q46" s="49"/>
      <c r="R46" s="281"/>
      <c r="S46" s="281"/>
      <c r="T46" s="281"/>
      <c r="U46" s="281"/>
      <c r="V46" s="281"/>
      <c r="W46" s="316"/>
      <c r="X46" s="49"/>
      <c r="Y46" s="316"/>
      <c r="Z46" s="316"/>
      <c r="AA46" s="313"/>
    </row>
    <row r="47" spans="2:27" ht="16.05" customHeight="1" x14ac:dyDescent="0.3">
      <c r="B47" s="46"/>
      <c r="C47" s="227"/>
      <c r="D47" s="227"/>
      <c r="E47" s="49"/>
      <c r="F47" s="38"/>
      <c r="G47" s="49"/>
      <c r="H47" s="49"/>
      <c r="I47" s="49"/>
      <c r="J47" s="49"/>
      <c r="K47" s="269"/>
      <c r="L47" s="269"/>
      <c r="M47" s="49"/>
      <c r="N47" s="246"/>
      <c r="O47" s="144" t="s">
        <v>429</v>
      </c>
      <c r="P47" s="49"/>
      <c r="Q47" s="49"/>
      <c r="R47" s="49"/>
      <c r="S47" s="49"/>
      <c r="T47" s="49"/>
      <c r="U47" s="49"/>
      <c r="V47" s="49"/>
      <c r="W47" s="49"/>
      <c r="X47" s="49"/>
      <c r="Y47" s="49"/>
      <c r="Z47" s="49"/>
      <c r="AA47" s="313"/>
    </row>
    <row r="48" spans="2:27" ht="16.05" customHeight="1" x14ac:dyDescent="0.3">
      <c r="B48" s="46"/>
      <c r="C48" s="227"/>
      <c r="D48" s="227"/>
      <c r="E48" s="49"/>
      <c r="F48" s="38"/>
      <c r="G48" s="49"/>
      <c r="H48" s="49"/>
      <c r="I48" s="453" t="s">
        <v>89</v>
      </c>
      <c r="J48" s="453"/>
      <c r="K48" s="453"/>
      <c r="L48" s="453"/>
      <c r="M48" s="453"/>
      <c r="N48" s="453"/>
      <c r="O48" s="273" t="str">
        <f>IF(K45+W45&gt;0,K45+W45,"")</f>
        <v/>
      </c>
      <c r="P48" s="316"/>
      <c r="Q48" s="316"/>
      <c r="R48" s="49"/>
      <c r="S48" s="49"/>
      <c r="T48" s="49"/>
      <c r="U48" s="49"/>
      <c r="V48" s="49"/>
      <c r="W48" s="49"/>
      <c r="X48" s="49"/>
      <c r="Y48" s="49"/>
      <c r="Z48" s="49"/>
      <c r="AA48" s="313"/>
    </row>
    <row r="49" spans="2:27" ht="16.05" customHeight="1" thickBot="1" x14ac:dyDescent="0.35">
      <c r="B49" s="46"/>
      <c r="C49" s="227"/>
      <c r="D49" s="317"/>
      <c r="E49" s="247"/>
      <c r="F49" s="247"/>
      <c r="G49" s="247"/>
      <c r="H49" s="247"/>
      <c r="I49" s="247"/>
      <c r="J49" s="247"/>
      <c r="K49" s="247"/>
      <c r="L49" s="247"/>
      <c r="M49" s="247"/>
      <c r="N49" s="247"/>
      <c r="O49" s="247"/>
      <c r="P49" s="247"/>
      <c r="Q49" s="49"/>
      <c r="R49" s="49"/>
      <c r="S49" s="49"/>
      <c r="T49" s="318"/>
      <c r="U49" s="318"/>
      <c r="V49" s="318"/>
      <c r="W49" s="318"/>
      <c r="X49" s="318"/>
      <c r="Y49" s="318"/>
      <c r="Z49" s="318"/>
      <c r="AA49" s="319"/>
    </row>
    <row r="50" spans="2:27" ht="11.55" customHeight="1" x14ac:dyDescent="0.3">
      <c r="B50" s="46"/>
      <c r="C50" s="227"/>
      <c r="D50" s="49"/>
      <c r="E50" s="49"/>
      <c r="F50" s="49"/>
      <c r="G50" s="49"/>
      <c r="H50" s="49"/>
      <c r="I50" s="49"/>
      <c r="J50" s="49"/>
      <c r="K50" s="49"/>
      <c r="L50" s="49"/>
      <c r="M50" s="49"/>
      <c r="N50" s="49"/>
      <c r="O50" s="49"/>
      <c r="P50" s="49"/>
      <c r="Q50" s="49"/>
      <c r="R50" s="49"/>
      <c r="S50" s="320"/>
      <c r="T50" s="66"/>
      <c r="U50" s="66"/>
      <c r="V50" s="66"/>
      <c r="W50" s="66"/>
      <c r="X50" s="66"/>
      <c r="Y50" s="66"/>
      <c r="Z50" s="66"/>
      <c r="AA50" s="66"/>
    </row>
    <row r="51" spans="2:27" ht="15.6" hidden="1" x14ac:dyDescent="0.3">
      <c r="B51" s="46"/>
      <c r="C51" s="227"/>
      <c r="D51" s="49"/>
      <c r="E51" s="48" t="s">
        <v>12</v>
      </c>
      <c r="F51" s="375" t="s">
        <v>31</v>
      </c>
      <c r="G51" s="375"/>
      <c r="H51" s="375"/>
      <c r="I51" s="375"/>
      <c r="J51" s="375"/>
      <c r="K51" s="144" t="s">
        <v>2</v>
      </c>
      <c r="L51" s="144"/>
      <c r="M51" s="144" t="s">
        <v>3</v>
      </c>
      <c r="N51" s="49"/>
      <c r="O51" s="49"/>
      <c r="P51" s="49"/>
      <c r="Q51" s="49"/>
      <c r="R51" s="49"/>
      <c r="S51" s="320"/>
      <c r="T51" s="66"/>
      <c r="U51" s="66"/>
      <c r="V51" s="66"/>
      <c r="W51" s="66"/>
      <c r="X51" s="66"/>
      <c r="Y51" s="66"/>
      <c r="Z51" s="66"/>
      <c r="AA51" s="66"/>
    </row>
    <row r="52" spans="2:27" ht="13.05" customHeight="1" x14ac:dyDescent="0.3">
      <c r="B52" s="46"/>
      <c r="C52" s="227"/>
      <c r="D52" s="49"/>
      <c r="E52" s="49"/>
      <c r="F52" s="49"/>
      <c r="G52" s="49"/>
      <c r="H52" s="49"/>
      <c r="I52" s="49"/>
      <c r="J52" s="49"/>
      <c r="K52" s="49"/>
      <c r="L52" s="49"/>
      <c r="M52" s="49"/>
      <c r="N52" s="49"/>
      <c r="O52" s="49"/>
      <c r="P52" s="49"/>
      <c r="Q52" s="49"/>
      <c r="R52" s="49"/>
      <c r="S52" s="320"/>
      <c r="T52" s="66"/>
      <c r="U52" s="66"/>
      <c r="V52" s="66"/>
      <c r="W52" s="66"/>
      <c r="X52" s="66"/>
      <c r="Y52" s="66"/>
      <c r="Z52" s="66"/>
      <c r="AA52" s="66"/>
    </row>
    <row r="53" spans="2:27" ht="13.05" customHeight="1" x14ac:dyDescent="0.3">
      <c r="B53" s="46"/>
      <c r="C53" s="227"/>
      <c r="D53" s="49"/>
      <c r="E53" s="440" t="s">
        <v>32</v>
      </c>
      <c r="F53" s="440"/>
      <c r="G53" s="440"/>
      <c r="H53" s="440"/>
      <c r="I53" s="440"/>
      <c r="J53" s="49"/>
      <c r="K53" s="321" t="e">
        <f>(1/(((O48-(-IF(K61&gt;0,K61,8))))/$K$10))</f>
        <v>#VALUE!</v>
      </c>
      <c r="L53" s="322"/>
      <c r="M53" s="240" t="s">
        <v>17</v>
      </c>
      <c r="N53" s="49"/>
      <c r="O53" s="49"/>
      <c r="P53" s="49"/>
      <c r="Q53" s="49"/>
      <c r="R53" s="49"/>
      <c r="S53" s="320"/>
      <c r="T53" s="66"/>
      <c r="U53" s="66"/>
      <c r="V53" s="66"/>
      <c r="W53" s="66"/>
      <c r="X53" s="66"/>
      <c r="Y53" s="66"/>
      <c r="Z53" s="66"/>
      <c r="AA53" s="66"/>
    </row>
    <row r="54" spans="2:27" ht="14.55" customHeight="1" x14ac:dyDescent="0.3">
      <c r="B54" s="46"/>
      <c r="C54" s="227"/>
      <c r="D54" s="49"/>
      <c r="E54" s="440" t="s">
        <v>481</v>
      </c>
      <c r="F54" s="440"/>
      <c r="G54" s="440"/>
      <c r="H54" s="440"/>
      <c r="I54" s="440"/>
      <c r="J54" s="49"/>
      <c r="K54" s="321" t="e">
        <f>(K10/($O$48-(IF(K15="Yes",IF('Stage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L54" s="322"/>
      <c r="M54" s="240" t="s">
        <v>17</v>
      </c>
      <c r="N54" s="49"/>
      <c r="O54" s="49"/>
      <c r="P54" s="49"/>
      <c r="Q54" s="49"/>
      <c r="R54" s="49"/>
      <c r="S54" s="320"/>
      <c r="T54" s="66"/>
      <c r="U54" s="66"/>
      <c r="V54" s="66"/>
      <c r="W54" s="66"/>
      <c r="X54" s="66"/>
      <c r="Y54" s="66"/>
      <c r="Z54" s="66"/>
      <c r="AA54" s="66"/>
    </row>
    <row r="55" spans="2:27" ht="14.55" customHeight="1" x14ac:dyDescent="0.3">
      <c r="B55" s="46"/>
      <c r="C55" s="227"/>
      <c r="D55" s="49"/>
      <c r="E55" s="440" t="s">
        <v>393</v>
      </c>
      <c r="F55" s="440"/>
      <c r="G55" s="440"/>
      <c r="H55" s="440"/>
      <c r="I55" s="440"/>
      <c r="J55" s="144"/>
      <c r="K55" s="321" t="e">
        <f>(1/(($O$48-'Data Tables'!O7)/$K$10))</f>
        <v>#VALUE!</v>
      </c>
      <c r="L55" s="322"/>
      <c r="M55" s="240" t="s">
        <v>17</v>
      </c>
      <c r="N55" s="240"/>
      <c r="O55" s="264"/>
      <c r="P55" s="264"/>
      <c r="Q55" s="240"/>
      <c r="R55" s="49"/>
      <c r="S55" s="320"/>
      <c r="T55" s="66"/>
      <c r="U55" s="66"/>
      <c r="V55" s="66"/>
      <c r="W55" s="66"/>
      <c r="X55" s="66"/>
      <c r="Y55" s="66"/>
      <c r="Z55" s="66"/>
      <c r="AA55" s="66"/>
    </row>
    <row r="56" spans="2:27" ht="14.55" customHeight="1" x14ac:dyDescent="0.3">
      <c r="B56" s="46"/>
      <c r="C56" s="227"/>
      <c r="D56" s="49"/>
      <c r="E56" s="440" t="s">
        <v>34</v>
      </c>
      <c r="F56" s="440"/>
      <c r="G56" s="440"/>
      <c r="H56" s="440"/>
      <c r="I56" s="440"/>
      <c r="J56" s="144"/>
      <c r="K56" s="321" t="e">
        <f>(1/(($O$48-'Data Tables'!O5)/$K$10))</f>
        <v>#VALUE!</v>
      </c>
      <c r="L56" s="322"/>
      <c r="M56" s="240" t="s">
        <v>17</v>
      </c>
      <c r="N56" s="240"/>
      <c r="O56" s="264"/>
      <c r="P56" s="264"/>
      <c r="Q56" s="240"/>
      <c r="R56" s="49"/>
      <c r="S56" s="320"/>
      <c r="T56" s="66"/>
      <c r="U56" s="66"/>
      <c r="V56" s="66"/>
      <c r="W56" s="66"/>
      <c r="X56" s="66"/>
      <c r="Y56" s="66"/>
      <c r="Z56" s="66"/>
      <c r="AA56" s="66"/>
    </row>
    <row r="57" spans="2:27" ht="14.55" customHeight="1" x14ac:dyDescent="0.3">
      <c r="B57" s="46"/>
      <c r="C57" s="227"/>
      <c r="D57" s="49"/>
      <c r="E57" s="440" t="s">
        <v>241</v>
      </c>
      <c r="F57" s="440"/>
      <c r="G57" s="440"/>
      <c r="H57" s="440"/>
      <c r="I57" s="440"/>
      <c r="J57" s="144"/>
      <c r="K57" s="321" t="e">
        <f>(1/(($O$48-'Data Tables'!O6)/$K$10))</f>
        <v>#VALUE!</v>
      </c>
      <c r="L57" s="322"/>
      <c r="M57" s="240" t="s">
        <v>17</v>
      </c>
      <c r="N57" s="240"/>
      <c r="O57" s="264"/>
      <c r="P57" s="264"/>
      <c r="Q57" s="240"/>
      <c r="R57" s="49"/>
      <c r="S57" s="320"/>
      <c r="T57" s="66"/>
      <c r="U57" s="66"/>
      <c r="V57" s="66"/>
      <c r="W57" s="66"/>
      <c r="X57" s="66"/>
      <c r="Y57" s="66"/>
      <c r="Z57" s="66"/>
      <c r="AA57" s="66"/>
    </row>
    <row r="58" spans="2:27" ht="14.55" customHeight="1" x14ac:dyDescent="0.3">
      <c r="B58" s="46"/>
      <c r="C58" s="227"/>
      <c r="D58" s="49"/>
      <c r="E58" s="440" t="s">
        <v>432</v>
      </c>
      <c r="F58" s="440"/>
      <c r="G58" s="440"/>
      <c r="H58" s="440"/>
      <c r="I58" s="440"/>
      <c r="J58" s="144"/>
      <c r="K58" s="321" t="e">
        <f>(1/(($O$48-'Data Tables'!O4)/$K$10))</f>
        <v>#VALUE!</v>
      </c>
      <c r="L58" s="322"/>
      <c r="M58" s="240" t="s">
        <v>17</v>
      </c>
      <c r="N58" s="240"/>
      <c r="O58" s="264"/>
      <c r="P58" s="264"/>
      <c r="Q58" s="240"/>
      <c r="R58" s="49"/>
      <c r="S58" s="320"/>
      <c r="T58" s="66"/>
      <c r="U58" s="66"/>
      <c r="V58" s="66"/>
      <c r="W58" s="66"/>
      <c r="X58" s="66"/>
      <c r="Y58" s="66"/>
      <c r="Z58" s="66"/>
      <c r="AA58" s="66"/>
    </row>
    <row r="59" spans="2:27" ht="7.5" customHeight="1" x14ac:dyDescent="0.3">
      <c r="B59" s="46"/>
      <c r="C59" s="227"/>
      <c r="D59" s="49"/>
      <c r="E59" s="49"/>
      <c r="F59" s="49"/>
      <c r="G59" s="49"/>
      <c r="H59" s="49"/>
      <c r="I59" s="49"/>
      <c r="J59" s="49"/>
      <c r="K59" s="49"/>
      <c r="L59" s="49"/>
      <c r="M59" s="49"/>
      <c r="N59" s="49"/>
      <c r="O59" s="49"/>
      <c r="P59" s="49"/>
      <c r="Q59" s="49"/>
      <c r="R59" s="49"/>
      <c r="S59" s="320"/>
      <c r="T59" s="66"/>
      <c r="U59" s="66"/>
      <c r="V59" s="66"/>
      <c r="W59" s="66"/>
      <c r="X59" s="66"/>
      <c r="Y59" s="66"/>
      <c r="Z59" s="66"/>
      <c r="AA59" s="66"/>
    </row>
    <row r="60" spans="2:27" ht="16.05" customHeight="1" x14ac:dyDescent="0.3">
      <c r="B60" s="46"/>
      <c r="C60" s="227"/>
      <c r="D60" s="49"/>
      <c r="E60" s="49"/>
      <c r="F60" s="375" t="s">
        <v>244</v>
      </c>
      <c r="G60" s="375"/>
      <c r="H60" s="375"/>
      <c r="I60" s="375"/>
      <c r="J60" s="375"/>
      <c r="K60" s="144" t="s">
        <v>429</v>
      </c>
      <c r="L60" s="144"/>
      <c r="M60" s="49"/>
      <c r="N60" s="49"/>
      <c r="O60" s="49"/>
      <c r="P60" s="49"/>
      <c r="Q60" s="49"/>
      <c r="R60" s="49"/>
      <c r="S60" s="320"/>
      <c r="T60" s="66"/>
      <c r="U60" s="66"/>
      <c r="V60" s="66"/>
      <c r="W60" s="66"/>
      <c r="X60" s="66"/>
      <c r="Y60" s="66"/>
      <c r="Z60" s="66"/>
      <c r="AA60" s="66"/>
    </row>
    <row r="61" spans="2:27" ht="18" customHeight="1" x14ac:dyDescent="0.3">
      <c r="B61" s="46"/>
      <c r="C61" s="227"/>
      <c r="D61" s="49"/>
      <c r="E61" s="49"/>
      <c r="F61" s="49"/>
      <c r="G61" s="375" t="s">
        <v>232</v>
      </c>
      <c r="H61" s="375"/>
      <c r="I61" s="375"/>
      <c r="J61" s="375"/>
      <c r="K61" s="238"/>
      <c r="L61" s="239"/>
      <c r="M61" s="240" t="s">
        <v>78</v>
      </c>
      <c r="N61" s="227"/>
      <c r="O61" s="49"/>
      <c r="P61" s="49"/>
      <c r="Q61" s="49"/>
      <c r="R61" s="49"/>
      <c r="S61" s="320"/>
      <c r="T61" s="66"/>
      <c r="U61" s="66"/>
      <c r="V61" s="66"/>
      <c r="W61" s="66"/>
      <c r="X61" s="66"/>
      <c r="Y61" s="66"/>
      <c r="Z61" s="66"/>
      <c r="AA61" s="66"/>
    </row>
    <row r="62" spans="2:27" ht="55.05" customHeight="1" x14ac:dyDescent="0.3">
      <c r="B62" s="46"/>
      <c r="C62" s="227"/>
      <c r="D62" s="49"/>
      <c r="E62" s="436" t="s">
        <v>431</v>
      </c>
      <c r="F62" s="436"/>
      <c r="G62" s="436"/>
      <c r="H62" s="436"/>
      <c r="I62" s="436"/>
      <c r="J62" s="436"/>
      <c r="K62" s="436"/>
      <c r="L62" s="436"/>
      <c r="M62" s="436"/>
      <c r="N62" s="436"/>
      <c r="O62" s="436"/>
      <c r="P62" s="436"/>
      <c r="Q62" s="436"/>
      <c r="R62" s="436"/>
      <c r="S62" s="320"/>
      <c r="T62" s="66"/>
      <c r="U62" s="66"/>
      <c r="V62" s="66"/>
      <c r="W62" s="66"/>
      <c r="X62" s="66"/>
      <c r="Y62" s="66"/>
      <c r="Z62" s="66"/>
      <c r="AA62" s="66"/>
    </row>
    <row r="63" spans="2:27" ht="14.55" customHeight="1" x14ac:dyDescent="0.3">
      <c r="B63" s="46"/>
      <c r="C63" s="227"/>
      <c r="D63" s="49"/>
      <c r="E63" s="49"/>
      <c r="F63" s="49"/>
      <c r="G63" s="49"/>
      <c r="H63" s="49"/>
      <c r="I63" s="49"/>
      <c r="J63" s="49"/>
      <c r="K63" s="226"/>
      <c r="L63" s="226"/>
      <c r="M63" s="49"/>
      <c r="N63" s="49"/>
      <c r="O63" s="226"/>
      <c r="P63" s="226"/>
      <c r="Q63" s="49"/>
      <c r="R63" s="49"/>
      <c r="S63" s="320"/>
      <c r="T63" s="66"/>
      <c r="U63" s="66"/>
      <c r="V63" s="66"/>
      <c r="W63" s="66"/>
      <c r="X63" s="66"/>
      <c r="Y63" s="66"/>
      <c r="Z63" s="66"/>
      <c r="AA63" s="66"/>
    </row>
    <row r="64" spans="2:27" ht="10.050000000000001" customHeight="1" x14ac:dyDescent="0.3">
      <c r="B64" s="46"/>
      <c r="C64" s="227"/>
      <c r="D64" s="49"/>
      <c r="E64" s="48" t="s">
        <v>14</v>
      </c>
      <c r="F64" s="49" t="s">
        <v>31</v>
      </c>
      <c r="G64" s="49"/>
      <c r="H64" s="49"/>
      <c r="I64" s="49"/>
      <c r="J64" s="49"/>
      <c r="K64" s="144" t="s">
        <v>2</v>
      </c>
      <c r="L64" s="144"/>
      <c r="M64" s="144" t="s">
        <v>3</v>
      </c>
      <c r="N64" s="144"/>
      <c r="O64" s="144" t="s">
        <v>2</v>
      </c>
      <c r="P64" s="144"/>
      <c r="Q64" s="144"/>
      <c r="R64" s="49"/>
      <c r="S64" s="320"/>
      <c r="T64" s="66"/>
      <c r="U64" s="66"/>
      <c r="V64" s="66"/>
      <c r="W64" s="66"/>
      <c r="X64" s="66"/>
      <c r="Y64" s="66"/>
      <c r="Z64" s="66"/>
      <c r="AA64" s="66"/>
    </row>
    <row r="65" spans="2:27" ht="13.5" customHeight="1" x14ac:dyDescent="0.3">
      <c r="B65" s="46"/>
      <c r="C65" s="227"/>
      <c r="D65" s="49"/>
      <c r="E65" s="48"/>
      <c r="F65" s="49"/>
      <c r="G65" s="49"/>
      <c r="H65" s="49"/>
      <c r="I65" s="49"/>
      <c r="J65" s="49"/>
      <c r="K65" s="144" t="s">
        <v>429</v>
      </c>
      <c r="L65" s="144"/>
      <c r="M65" s="49"/>
      <c r="N65" s="49"/>
      <c r="O65" s="144" t="s">
        <v>429</v>
      </c>
      <c r="P65" s="144"/>
      <c r="Q65" s="144"/>
      <c r="R65" s="49"/>
      <c r="S65" s="320"/>
      <c r="T65" s="66"/>
      <c r="U65" s="323"/>
      <c r="V65" s="66"/>
      <c r="W65" s="66"/>
      <c r="X65" s="66"/>
      <c r="Y65" s="66"/>
      <c r="Z65" s="66"/>
      <c r="AA65" s="66"/>
    </row>
    <row r="66" spans="2:27" ht="19.05" customHeight="1" x14ac:dyDescent="0.3">
      <c r="B66" s="46"/>
      <c r="C66" s="227"/>
      <c r="D66" s="49"/>
      <c r="E66" s="440" t="s">
        <v>32</v>
      </c>
      <c r="F66" s="440"/>
      <c r="G66" s="440"/>
      <c r="H66" s="440"/>
      <c r="I66" s="440"/>
      <c r="J66" s="144"/>
      <c r="K66" s="324"/>
      <c r="L66" s="277"/>
      <c r="M66" s="240" t="s">
        <v>35</v>
      </c>
      <c r="N66" s="240"/>
      <c r="O66" s="321" t="str">
        <f>IF(K66&gt;0,(1/(($O$48-(-IF(K61&gt;0,K61,8)))/K66)),"0")</f>
        <v>0</v>
      </c>
      <c r="P66" s="322"/>
      <c r="Q66" s="240" t="s">
        <v>17</v>
      </c>
      <c r="R66" s="49"/>
      <c r="S66" s="320"/>
      <c r="T66" s="66"/>
      <c r="U66" s="323"/>
      <c r="V66" s="66"/>
      <c r="W66" s="66"/>
      <c r="X66" s="66"/>
      <c r="Y66" s="66"/>
      <c r="Z66" s="66"/>
      <c r="AA66" s="66"/>
    </row>
    <row r="67" spans="2:27" ht="22.5" customHeight="1" x14ac:dyDescent="0.3">
      <c r="B67" s="46"/>
      <c r="C67" s="227"/>
      <c r="D67" s="49"/>
      <c r="E67" s="440" t="s">
        <v>481</v>
      </c>
      <c r="F67" s="440"/>
      <c r="G67" s="440"/>
      <c r="H67" s="440"/>
      <c r="I67" s="440"/>
      <c r="J67" s="144"/>
      <c r="K67" s="324"/>
      <c r="L67" s="277"/>
      <c r="M67" s="240" t="s">
        <v>35</v>
      </c>
      <c r="N67" s="240"/>
      <c r="O67" s="321" t="str">
        <f>IF(K67&gt;0,(1/(($O$48-(IF(K15="Yes",IF('Stage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Tables'!AK48))))))))))))/K67)),"0")</f>
        <v>0</v>
      </c>
      <c r="P67" s="322"/>
      <c r="Q67" s="240" t="s">
        <v>17</v>
      </c>
      <c r="R67" s="49"/>
      <c r="S67" s="320"/>
      <c r="T67" s="66"/>
      <c r="U67" s="66"/>
      <c r="V67" s="66"/>
      <c r="W67" s="66"/>
      <c r="X67" s="66"/>
      <c r="Y67" s="66"/>
      <c r="Z67" s="66"/>
      <c r="AA67" s="66"/>
    </row>
    <row r="68" spans="2:27" ht="13.5" customHeight="1" x14ac:dyDescent="0.3">
      <c r="B68" s="46"/>
      <c r="C68" s="227"/>
      <c r="D68" s="49"/>
      <c r="E68" s="440" t="s">
        <v>393</v>
      </c>
      <c r="F68" s="440"/>
      <c r="G68" s="440"/>
      <c r="H68" s="440"/>
      <c r="I68" s="440"/>
      <c r="J68" s="144"/>
      <c r="K68" s="324"/>
      <c r="L68" s="277"/>
      <c r="M68" s="240" t="s">
        <v>35</v>
      </c>
      <c r="N68" s="240"/>
      <c r="O68" s="321" t="str">
        <f>IF(K68&gt;0,(1/(($O$48-'Data Tables'!O7)/K68)),"0")</f>
        <v>0</v>
      </c>
      <c r="P68" s="322"/>
      <c r="Q68" s="240" t="s">
        <v>17</v>
      </c>
      <c r="R68" s="49"/>
      <c r="S68" s="320"/>
      <c r="T68" s="66"/>
      <c r="U68" s="323"/>
      <c r="V68" s="66"/>
      <c r="W68" s="66"/>
      <c r="X68" s="66"/>
      <c r="Y68" s="66"/>
      <c r="Z68" s="66"/>
      <c r="AA68" s="66"/>
    </row>
    <row r="69" spans="2:27" ht="16.5" customHeight="1" x14ac:dyDescent="0.3">
      <c r="B69" s="46"/>
      <c r="C69" s="227"/>
      <c r="D69" s="49"/>
      <c r="E69" s="440" t="s">
        <v>34</v>
      </c>
      <c r="F69" s="440"/>
      <c r="G69" s="440"/>
      <c r="H69" s="440"/>
      <c r="I69" s="440"/>
      <c r="J69" s="144"/>
      <c r="K69" s="324"/>
      <c r="L69" s="277"/>
      <c r="M69" s="240" t="s">
        <v>35</v>
      </c>
      <c r="N69" s="240"/>
      <c r="O69" s="321" t="str">
        <f>IF(K69&gt;0,(1/(($O$48-'Data Tables'!O5)/K69)),"0")</f>
        <v>0</v>
      </c>
      <c r="P69" s="322"/>
      <c r="Q69" s="240" t="s">
        <v>17</v>
      </c>
      <c r="R69" s="49"/>
      <c r="S69" s="320"/>
      <c r="T69" s="66"/>
      <c r="U69" s="66"/>
      <c r="V69" s="66"/>
      <c r="W69" s="66"/>
      <c r="X69" s="66"/>
      <c r="Y69" s="66"/>
      <c r="Z69" s="66"/>
      <c r="AA69" s="66"/>
    </row>
    <row r="70" spans="2:27" ht="16.5" customHeight="1" x14ac:dyDescent="0.3">
      <c r="B70" s="46"/>
      <c r="C70" s="227"/>
      <c r="D70" s="49"/>
      <c r="E70" s="440" t="s">
        <v>241</v>
      </c>
      <c r="F70" s="440"/>
      <c r="G70" s="440"/>
      <c r="H70" s="440"/>
      <c r="I70" s="440"/>
      <c r="J70" s="144"/>
      <c r="K70" s="324"/>
      <c r="L70" s="277"/>
      <c r="M70" s="240" t="s">
        <v>35</v>
      </c>
      <c r="N70" s="240"/>
      <c r="O70" s="321" t="str">
        <f>IF(K70&gt;0,(1/(($O$48-'Data Tables'!O6)/K70)),"0")</f>
        <v>0</v>
      </c>
      <c r="P70" s="322"/>
      <c r="Q70" s="240" t="s">
        <v>17</v>
      </c>
      <c r="R70" s="49"/>
      <c r="S70" s="320"/>
      <c r="T70" s="66"/>
      <c r="U70" s="66"/>
      <c r="V70" s="66"/>
      <c r="W70" s="66"/>
      <c r="X70" s="66"/>
      <c r="Y70" s="66"/>
      <c r="Z70" s="66"/>
      <c r="AA70" s="66"/>
    </row>
    <row r="71" spans="2:27" ht="16.5" customHeight="1" x14ac:dyDescent="0.3">
      <c r="B71" s="46"/>
      <c r="C71" s="227"/>
      <c r="D71" s="49"/>
      <c r="E71" s="440" t="s">
        <v>432</v>
      </c>
      <c r="F71" s="440"/>
      <c r="G71" s="440"/>
      <c r="H71" s="440"/>
      <c r="I71" s="440"/>
      <c r="J71" s="144"/>
      <c r="K71" s="324"/>
      <c r="L71" s="277"/>
      <c r="M71" s="240" t="s">
        <v>35</v>
      </c>
      <c r="N71" s="240"/>
      <c r="O71" s="321" t="str">
        <f>IF(K71&gt;0,(1/(($O$48-'Data Tables'!O4)/K71)),"0")</f>
        <v>0</v>
      </c>
      <c r="P71" s="322"/>
      <c r="Q71" s="240" t="s">
        <v>17</v>
      </c>
      <c r="R71" s="49"/>
      <c r="S71" s="320"/>
      <c r="T71" s="66"/>
      <c r="U71" s="66"/>
      <c r="V71" s="66"/>
      <c r="W71" s="66"/>
      <c r="X71" s="66"/>
      <c r="Y71" s="66"/>
      <c r="Z71" s="66"/>
      <c r="AA71" s="66"/>
    </row>
    <row r="72" spans="2:27" ht="22.05" customHeight="1" x14ac:dyDescent="0.3">
      <c r="B72" s="46"/>
      <c r="C72" s="227"/>
      <c r="D72" s="49"/>
      <c r="E72" s="49"/>
      <c r="F72" s="49"/>
      <c r="G72" s="49"/>
      <c r="H72" s="49"/>
      <c r="I72" s="49"/>
      <c r="J72" s="49"/>
      <c r="K72" s="49"/>
      <c r="L72" s="49"/>
      <c r="M72" s="240"/>
      <c r="N72" s="240"/>
      <c r="O72" s="325"/>
      <c r="P72" s="325"/>
      <c r="Q72" s="240"/>
      <c r="R72" s="49"/>
      <c r="S72" s="320"/>
      <c r="T72" s="66"/>
      <c r="U72" s="66"/>
      <c r="V72" s="66"/>
      <c r="W72" s="66"/>
      <c r="X72" s="66"/>
      <c r="Y72" s="66"/>
      <c r="Z72" s="66"/>
      <c r="AA72" s="66"/>
    </row>
    <row r="73" spans="2:27" ht="15.6" customHeight="1" x14ac:dyDescent="0.3">
      <c r="B73" s="46"/>
      <c r="C73" s="227"/>
      <c r="D73" s="49"/>
      <c r="E73" s="49"/>
      <c r="F73" s="390" t="s">
        <v>63</v>
      </c>
      <c r="G73" s="390"/>
      <c r="H73" s="390"/>
      <c r="I73" s="390"/>
      <c r="J73" s="49"/>
      <c r="K73" s="273" t="e">
        <f>K10-(SUM(K66:K71))</f>
        <v>#VALUE!</v>
      </c>
      <c r="L73" s="269"/>
      <c r="M73" s="246" t="s">
        <v>15</v>
      </c>
      <c r="N73" s="246"/>
      <c r="O73" s="290">
        <f>SUM(O66:O71)</f>
        <v>0</v>
      </c>
      <c r="P73" s="326"/>
      <c r="Q73" s="246" t="s">
        <v>17</v>
      </c>
      <c r="R73" s="49"/>
      <c r="S73" s="320"/>
      <c r="T73" s="66"/>
      <c r="U73" s="66"/>
      <c r="V73" s="66"/>
      <c r="W73" s="66"/>
      <c r="X73" s="66"/>
      <c r="Y73" s="66"/>
      <c r="Z73" s="66"/>
      <c r="AA73" s="66"/>
    </row>
    <row r="74" spans="2:27" ht="18" customHeight="1" x14ac:dyDescent="0.3">
      <c r="B74" s="46"/>
      <c r="C74" s="227"/>
      <c r="D74" s="49"/>
      <c r="E74" s="49"/>
      <c r="F74" s="49"/>
      <c r="G74" s="49"/>
      <c r="H74" s="49"/>
      <c r="I74" s="49"/>
      <c r="J74" s="49"/>
      <c r="K74" s="49"/>
      <c r="L74" s="49"/>
      <c r="M74" s="49"/>
      <c r="N74" s="49"/>
      <c r="O74" s="49"/>
      <c r="P74" s="49"/>
      <c r="Q74" s="49"/>
      <c r="R74" s="49"/>
      <c r="S74" s="320"/>
      <c r="T74" s="66"/>
      <c r="U74" s="66"/>
      <c r="V74" s="66"/>
      <c r="W74" s="66"/>
      <c r="X74" s="66"/>
      <c r="Y74" s="66"/>
      <c r="Z74" s="66"/>
      <c r="AA74" s="66"/>
    </row>
    <row r="75" spans="2:27" ht="69.599999999999994" customHeight="1" x14ac:dyDescent="0.3">
      <c r="B75" s="46"/>
      <c r="C75" s="227"/>
      <c r="D75" s="49"/>
      <c r="E75" s="436" t="s">
        <v>434</v>
      </c>
      <c r="F75" s="436"/>
      <c r="G75" s="436"/>
      <c r="H75" s="436"/>
      <c r="I75" s="436"/>
      <c r="J75" s="436"/>
      <c r="K75" s="436"/>
      <c r="L75" s="436"/>
      <c r="M75" s="436"/>
      <c r="N75" s="436"/>
      <c r="O75" s="436"/>
      <c r="P75" s="436"/>
      <c r="Q75" s="436"/>
      <c r="R75" s="436"/>
      <c r="S75" s="320"/>
      <c r="T75" s="66"/>
      <c r="U75" s="66"/>
      <c r="V75" s="66"/>
      <c r="W75" s="66"/>
      <c r="X75" s="66"/>
      <c r="Y75" s="66"/>
      <c r="Z75" s="66"/>
      <c r="AA75" s="66"/>
    </row>
    <row r="76" spans="2:27" ht="15.6" x14ac:dyDescent="0.3">
      <c r="B76" s="46"/>
      <c r="C76" s="227"/>
      <c r="D76" s="49"/>
      <c r="E76" s="49"/>
      <c r="F76" s="49"/>
      <c r="G76" s="49"/>
      <c r="H76" s="49"/>
      <c r="I76" s="49"/>
      <c r="J76" s="49"/>
      <c r="K76" s="49"/>
      <c r="L76" s="49"/>
      <c r="M76" s="49"/>
      <c r="N76" s="49"/>
      <c r="O76" s="49"/>
      <c r="P76" s="49"/>
      <c r="Q76" s="49"/>
      <c r="R76" s="49"/>
      <c r="S76" s="320"/>
      <c r="T76" s="66"/>
      <c r="U76" s="66"/>
      <c r="V76" s="66"/>
      <c r="W76" s="66"/>
      <c r="X76" s="66"/>
      <c r="Y76" s="66"/>
      <c r="Z76" s="66"/>
      <c r="AA76" s="66"/>
    </row>
    <row r="77" spans="2:27" ht="15.6" x14ac:dyDescent="0.3">
      <c r="B77" s="46"/>
      <c r="C77" s="227"/>
      <c r="D77" s="49"/>
      <c r="E77" s="48" t="s">
        <v>27</v>
      </c>
      <c r="F77" s="49" t="s">
        <v>31</v>
      </c>
      <c r="G77" s="49"/>
      <c r="H77" s="49"/>
      <c r="I77" s="49"/>
      <c r="J77" s="49"/>
      <c r="K77" s="144" t="s">
        <v>2</v>
      </c>
      <c r="L77" s="144"/>
      <c r="M77" s="144" t="s">
        <v>3</v>
      </c>
      <c r="N77" s="144"/>
      <c r="O77" s="144" t="s">
        <v>2</v>
      </c>
      <c r="P77" s="144"/>
      <c r="Q77" s="144"/>
      <c r="R77" s="49"/>
      <c r="S77" s="320"/>
      <c r="T77" s="66"/>
      <c r="U77" s="66"/>
      <c r="V77" s="66"/>
      <c r="W77" s="66"/>
      <c r="X77" s="66"/>
      <c r="Y77" s="66"/>
      <c r="Z77" s="66"/>
      <c r="AA77" s="66"/>
    </row>
    <row r="78" spans="2:27" ht="15.6" x14ac:dyDescent="0.3">
      <c r="B78" s="46"/>
      <c r="C78" s="227"/>
      <c r="D78" s="49"/>
      <c r="E78" s="48"/>
      <c r="F78" s="49"/>
      <c r="G78" s="49"/>
      <c r="H78" s="49"/>
      <c r="I78" s="49"/>
      <c r="J78" s="49"/>
      <c r="K78" s="144" t="s">
        <v>429</v>
      </c>
      <c r="L78" s="49"/>
      <c r="M78" s="49"/>
      <c r="N78" s="49"/>
      <c r="O78" s="144" t="s">
        <v>429</v>
      </c>
      <c r="P78" s="144"/>
      <c r="Q78" s="144"/>
      <c r="R78" s="49"/>
      <c r="S78" s="320"/>
      <c r="T78" s="66"/>
      <c r="U78" s="66"/>
      <c r="V78" s="66"/>
      <c r="W78" s="66"/>
      <c r="X78" s="66"/>
      <c r="Y78" s="66"/>
      <c r="Z78" s="66"/>
      <c r="AA78" s="66"/>
    </row>
    <row r="79" spans="2:27" ht="15.6" x14ac:dyDescent="0.3">
      <c r="B79" s="46"/>
      <c r="C79" s="227"/>
      <c r="D79" s="49"/>
      <c r="E79" s="440" t="s">
        <v>32</v>
      </c>
      <c r="F79" s="440"/>
      <c r="G79" s="440"/>
      <c r="H79" s="440"/>
      <c r="I79" s="440"/>
      <c r="J79" s="144"/>
      <c r="K79" s="282"/>
      <c r="L79" s="327"/>
      <c r="M79" s="240" t="s">
        <v>60</v>
      </c>
      <c r="N79" s="240"/>
      <c r="O79" s="268" t="e">
        <f>K79*($O$48-(-IF(K61&gt;0,K61,8)))</f>
        <v>#VALUE!</v>
      </c>
      <c r="P79" s="264"/>
      <c r="Q79" s="240" t="s">
        <v>35</v>
      </c>
      <c r="R79" s="49"/>
      <c r="S79" s="320"/>
      <c r="T79" s="66"/>
      <c r="U79" s="66"/>
      <c r="V79" s="66"/>
      <c r="W79" s="66"/>
      <c r="X79" s="66"/>
      <c r="Y79" s="66"/>
      <c r="Z79" s="66"/>
      <c r="AA79" s="66"/>
    </row>
    <row r="80" spans="2:27" ht="15.6" x14ac:dyDescent="0.3">
      <c r="B80" s="46"/>
      <c r="C80" s="227"/>
      <c r="D80" s="49"/>
      <c r="E80" s="440" t="s">
        <v>481</v>
      </c>
      <c r="F80" s="440"/>
      <c r="G80" s="440"/>
      <c r="H80" s="440"/>
      <c r="I80" s="440"/>
      <c r="J80" s="144"/>
      <c r="K80" s="282"/>
      <c r="L80" s="327"/>
      <c r="M80" s="240" t="s">
        <v>60</v>
      </c>
      <c r="N80" s="240"/>
      <c r="O80" s="268" t="e">
        <f>K80*($O$48-(IF(K15="Yes",IF('Stage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P80" s="264"/>
      <c r="Q80" s="240" t="s">
        <v>35</v>
      </c>
      <c r="R80" s="49"/>
      <c r="S80" s="320"/>
      <c r="T80" s="66"/>
      <c r="U80" s="66"/>
      <c r="V80" s="66"/>
      <c r="W80" s="66"/>
      <c r="X80" s="66"/>
      <c r="Y80" s="66"/>
      <c r="Z80" s="66"/>
      <c r="AA80" s="66"/>
    </row>
    <row r="81" spans="2:27" ht="15.6" x14ac:dyDescent="0.3">
      <c r="B81" s="46"/>
      <c r="C81" s="227"/>
      <c r="D81" s="49"/>
      <c r="E81" s="440" t="s">
        <v>393</v>
      </c>
      <c r="F81" s="440"/>
      <c r="G81" s="440"/>
      <c r="H81" s="440"/>
      <c r="I81" s="440"/>
      <c r="J81" s="144"/>
      <c r="K81" s="282"/>
      <c r="L81" s="327"/>
      <c r="M81" s="240" t="s">
        <v>60</v>
      </c>
      <c r="N81" s="240"/>
      <c r="O81" s="268" t="e">
        <f>K81*($O$48-'Data Tables'!O7)</f>
        <v>#VALUE!</v>
      </c>
      <c r="P81" s="264"/>
      <c r="Q81" s="240" t="s">
        <v>35</v>
      </c>
      <c r="R81" s="49"/>
      <c r="S81" s="320"/>
      <c r="T81" s="66"/>
      <c r="U81" s="66"/>
      <c r="V81" s="66"/>
      <c r="W81" s="66"/>
      <c r="X81" s="66"/>
      <c r="Y81" s="66"/>
      <c r="Z81" s="66"/>
      <c r="AA81" s="66"/>
    </row>
    <row r="82" spans="2:27" ht="15.6" x14ac:dyDescent="0.3">
      <c r="B82" s="46"/>
      <c r="C82" s="227"/>
      <c r="D82" s="49"/>
      <c r="E82" s="440" t="s">
        <v>34</v>
      </c>
      <c r="F82" s="440"/>
      <c r="G82" s="440"/>
      <c r="H82" s="440"/>
      <c r="I82" s="440"/>
      <c r="J82" s="144"/>
      <c r="K82" s="282"/>
      <c r="L82" s="327"/>
      <c r="M82" s="240" t="s">
        <v>60</v>
      </c>
      <c r="N82" s="240"/>
      <c r="O82" s="268" t="e">
        <f>K82*($O$48-'Data Tables'!O5)</f>
        <v>#VALUE!</v>
      </c>
      <c r="P82" s="264"/>
      <c r="Q82" s="240" t="s">
        <v>35</v>
      </c>
      <c r="R82" s="49"/>
      <c r="S82" s="320"/>
      <c r="T82" s="66"/>
      <c r="U82" s="66"/>
      <c r="V82" s="66"/>
      <c r="W82" s="66"/>
      <c r="X82" s="66"/>
      <c r="Y82" s="66"/>
      <c r="Z82" s="66"/>
      <c r="AA82" s="66"/>
    </row>
    <row r="83" spans="2:27" ht="15.6" x14ac:dyDescent="0.3">
      <c r="B83" s="46"/>
      <c r="C83" s="227"/>
      <c r="D83" s="49"/>
      <c r="E83" s="440" t="s">
        <v>241</v>
      </c>
      <c r="F83" s="440"/>
      <c r="G83" s="440"/>
      <c r="H83" s="440"/>
      <c r="I83" s="440"/>
      <c r="J83" s="144"/>
      <c r="K83" s="282"/>
      <c r="L83" s="327"/>
      <c r="M83" s="240" t="s">
        <v>60</v>
      </c>
      <c r="N83" s="240"/>
      <c r="O83" s="268" t="e">
        <f>K83*($O$48-'Data Tables'!O6)</f>
        <v>#VALUE!</v>
      </c>
      <c r="P83" s="264"/>
      <c r="Q83" s="240" t="s">
        <v>35</v>
      </c>
      <c r="R83" s="49"/>
      <c r="S83" s="320"/>
      <c r="T83" s="66"/>
      <c r="U83" s="66"/>
      <c r="V83" s="66"/>
      <c r="W83" s="66"/>
      <c r="X83" s="66"/>
      <c r="Y83" s="66"/>
      <c r="Z83" s="66"/>
      <c r="AA83" s="66"/>
    </row>
    <row r="84" spans="2:27" ht="26.1" customHeight="1" x14ac:dyDescent="0.3">
      <c r="B84" s="46"/>
      <c r="C84" s="227"/>
      <c r="D84" s="49"/>
      <c r="E84" s="440" t="s">
        <v>432</v>
      </c>
      <c r="F84" s="440"/>
      <c r="G84" s="440"/>
      <c r="H84" s="440"/>
      <c r="I84" s="440"/>
      <c r="J84" s="144"/>
      <c r="K84" s="282"/>
      <c r="L84" s="327"/>
      <c r="M84" s="240" t="s">
        <v>60</v>
      </c>
      <c r="N84" s="240"/>
      <c r="O84" s="268" t="e">
        <f>K84*($O$48-'Data Tables'!O4)</f>
        <v>#VALUE!</v>
      </c>
      <c r="P84" s="264"/>
      <c r="Q84" s="240" t="s">
        <v>35</v>
      </c>
      <c r="R84" s="49"/>
      <c r="S84" s="320"/>
      <c r="T84" s="66"/>
      <c r="U84" s="66"/>
      <c r="V84" s="66"/>
      <c r="W84" s="66"/>
      <c r="X84" s="66"/>
      <c r="Y84" s="66"/>
      <c r="Z84" s="66"/>
      <c r="AA84" s="66"/>
    </row>
    <row r="85" spans="2:27" ht="30" customHeight="1" x14ac:dyDescent="0.3">
      <c r="B85" s="46"/>
      <c r="C85" s="227"/>
      <c r="D85" s="49"/>
      <c r="E85" s="49"/>
      <c r="F85" s="49"/>
      <c r="G85" s="49"/>
      <c r="H85" s="49"/>
      <c r="I85" s="49"/>
      <c r="J85" s="49"/>
      <c r="K85" s="328"/>
      <c r="L85" s="328"/>
      <c r="M85" s="240"/>
      <c r="N85" s="240"/>
      <c r="O85" s="240"/>
      <c r="P85" s="240"/>
      <c r="Q85" s="240"/>
      <c r="R85" s="49"/>
      <c r="S85" s="320"/>
      <c r="T85" s="66"/>
      <c r="U85" s="66"/>
      <c r="V85" s="66"/>
      <c r="W85" s="66"/>
      <c r="X85" s="66"/>
      <c r="Y85" s="66"/>
      <c r="Z85" s="66"/>
      <c r="AA85" s="66"/>
    </row>
    <row r="86" spans="2:27" ht="29.55" customHeight="1" x14ac:dyDescent="0.3">
      <c r="B86" s="46"/>
      <c r="C86" s="227"/>
      <c r="D86" s="49"/>
      <c r="E86" s="49"/>
      <c r="F86" s="390" t="s">
        <v>63</v>
      </c>
      <c r="G86" s="390"/>
      <c r="H86" s="390"/>
      <c r="I86" s="390"/>
      <c r="J86" s="49"/>
      <c r="K86" s="290">
        <f>(SUM(K79:K84))</f>
        <v>0</v>
      </c>
      <c r="L86" s="326"/>
      <c r="M86" s="246" t="s">
        <v>60</v>
      </c>
      <c r="N86" s="246"/>
      <c r="O86" s="273" t="e">
        <f>K10-(SUM(O79:O84))</f>
        <v>#VALUE!</v>
      </c>
      <c r="P86" s="269"/>
      <c r="Q86" s="246" t="s">
        <v>15</v>
      </c>
      <c r="R86" s="49"/>
      <c r="S86" s="320"/>
      <c r="T86" s="66"/>
      <c r="U86" s="66"/>
      <c r="V86" s="66"/>
      <c r="W86" s="66"/>
      <c r="X86" s="66"/>
      <c r="Y86" s="66"/>
      <c r="Z86" s="66"/>
      <c r="AA86" s="66"/>
    </row>
    <row r="87" spans="2:27" ht="15" customHeight="1" x14ac:dyDescent="0.3">
      <c r="B87" s="46"/>
      <c r="C87" s="227"/>
      <c r="D87" s="49"/>
      <c r="E87" s="49"/>
      <c r="F87" s="49"/>
      <c r="G87" s="49"/>
      <c r="H87" s="49"/>
      <c r="I87" s="49"/>
      <c r="J87" s="49"/>
      <c r="K87" s="49"/>
      <c r="L87" s="49"/>
      <c r="M87" s="49"/>
      <c r="N87" s="49"/>
      <c r="O87" s="49"/>
      <c r="P87" s="49"/>
      <c r="Q87" s="49"/>
      <c r="R87" s="49"/>
      <c r="S87" s="320"/>
      <c r="T87" s="66"/>
      <c r="U87" s="66"/>
      <c r="V87" s="66"/>
      <c r="W87" s="66"/>
      <c r="X87" s="66"/>
      <c r="Y87" s="66"/>
      <c r="Z87" s="66"/>
      <c r="AA87" s="66"/>
    </row>
    <row r="88" spans="2:27" ht="44.1" customHeight="1" thickBot="1" x14ac:dyDescent="0.35">
      <c r="B88" s="50"/>
      <c r="C88" s="271"/>
      <c r="D88" s="318"/>
      <c r="E88" s="456" t="s">
        <v>433</v>
      </c>
      <c r="F88" s="456"/>
      <c r="G88" s="456"/>
      <c r="H88" s="456"/>
      <c r="I88" s="456"/>
      <c r="J88" s="456"/>
      <c r="K88" s="456"/>
      <c r="L88" s="456"/>
      <c r="M88" s="456"/>
      <c r="N88" s="456"/>
      <c r="O88" s="456"/>
      <c r="P88" s="456"/>
      <c r="Q88" s="456"/>
      <c r="R88" s="456"/>
      <c r="S88" s="329"/>
      <c r="T88" s="66"/>
      <c r="U88" s="66"/>
      <c r="V88" s="66"/>
      <c r="W88" s="66"/>
      <c r="X88" s="66"/>
      <c r="Y88" s="66"/>
      <c r="Z88" s="66"/>
      <c r="AA88" s="66"/>
    </row>
    <row r="89" spans="2:27" ht="18" customHeight="1" x14ac:dyDescent="0.3">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row>
    <row r="90" spans="2:27" x14ac:dyDescent="0.25"/>
  </sheetData>
  <sheetProtection algorithmName="SHA-512" hashValue="hvx98rB9xCqIl2ctFA9jSHG+BtF8mTPJuPRtxzCblhLp/cThFrD08U5G5kxQgNMpXnlnv+uaCWTVTeCzbs3itA==" saltValue="3v/0eJM2BtpzDnsDiHM+aA==" spinCount="100000" sheet="1" selectLockedCells="1"/>
  <mergeCells count="83">
    <mergeCell ref="E82:I82"/>
    <mergeCell ref="E83:I83"/>
    <mergeCell ref="E84:I84"/>
    <mergeCell ref="F86:I86"/>
    <mergeCell ref="E88:R88"/>
    <mergeCell ref="E81:I81"/>
    <mergeCell ref="E62:R62"/>
    <mergeCell ref="E66:I66"/>
    <mergeCell ref="E67:I67"/>
    <mergeCell ref="E68:I68"/>
    <mergeCell ref="E69:I69"/>
    <mergeCell ref="E70:I70"/>
    <mergeCell ref="E71:I71"/>
    <mergeCell ref="F73:I73"/>
    <mergeCell ref="E75:R75"/>
    <mergeCell ref="E79:I79"/>
    <mergeCell ref="E80:I80"/>
    <mergeCell ref="G61:J61"/>
    <mergeCell ref="E45:I45"/>
    <mergeCell ref="R45:V45"/>
    <mergeCell ref="I48:N48"/>
    <mergeCell ref="F51:J51"/>
    <mergeCell ref="E53:I53"/>
    <mergeCell ref="E54:I54"/>
    <mergeCell ref="E55:I55"/>
    <mergeCell ref="E56:I56"/>
    <mergeCell ref="E57:I57"/>
    <mergeCell ref="E58:I58"/>
    <mergeCell ref="F60:J60"/>
    <mergeCell ref="E41:I41"/>
    <mergeCell ref="R41:V41"/>
    <mergeCell ref="E42:I42"/>
    <mergeCell ref="R42:V42"/>
    <mergeCell ref="E43:I43"/>
    <mergeCell ref="R43:V43"/>
    <mergeCell ref="E39:I39"/>
    <mergeCell ref="R39:V39"/>
    <mergeCell ref="E40:I40"/>
    <mergeCell ref="R40:V40"/>
    <mergeCell ref="E36:I36"/>
    <mergeCell ref="R36:V36"/>
    <mergeCell ref="E37:I37"/>
    <mergeCell ref="R37:V37"/>
    <mergeCell ref="E38:I38"/>
    <mergeCell ref="R38:V38"/>
    <mergeCell ref="E33:I33"/>
    <mergeCell ref="R33:V33"/>
    <mergeCell ref="E34:I34"/>
    <mergeCell ref="R34:V34"/>
    <mergeCell ref="E35:I35"/>
    <mergeCell ref="R35:V35"/>
    <mergeCell ref="E30:I30"/>
    <mergeCell ref="R30:V30"/>
    <mergeCell ref="E31:I31"/>
    <mergeCell ref="R31:V31"/>
    <mergeCell ref="E32:I32"/>
    <mergeCell ref="R32:V32"/>
    <mergeCell ref="E27:I27"/>
    <mergeCell ref="R27:V27"/>
    <mergeCell ref="E28:I28"/>
    <mergeCell ref="R28:V28"/>
    <mergeCell ref="E29:I29"/>
    <mergeCell ref="R29:V29"/>
    <mergeCell ref="E26:I26"/>
    <mergeCell ref="R26:V26"/>
    <mergeCell ref="E17:N17"/>
    <mergeCell ref="R17:X17"/>
    <mergeCell ref="R18:X18"/>
    <mergeCell ref="F19:J19"/>
    <mergeCell ref="R20:V20"/>
    <mergeCell ref="F21:J21"/>
    <mergeCell ref="R21:V21"/>
    <mergeCell ref="R22:V22"/>
    <mergeCell ref="R23:V23"/>
    <mergeCell ref="Q24:AA24"/>
    <mergeCell ref="F25:J25"/>
    <mergeCell ref="R25:V25"/>
    <mergeCell ref="F3:R3"/>
    <mergeCell ref="E4:R6"/>
    <mergeCell ref="F8:J8"/>
    <mergeCell ref="F13:J13"/>
    <mergeCell ref="K15:L15"/>
    <mergeCell ref="R15:V15"/>
  </mergeCells>
  <dataValidations count="4">
    <dataValidation type="list" allowBlank="1" showInputMessage="1" showErrorMessage="1" sqref="W21" xr:uid="{B49FD6C7-224E-4222-A868-086971030D8F}">
      <formula1>"Freely draining, Impermeable - drained for arable, Impermeable - drained for arable and grassland"</formula1>
    </dataValidation>
    <dataValidation type="list" allowBlank="1" showInputMessage="1" showErrorMessage="1" sqref="W20" xr:uid="{D260B993-EEB9-40C1-AFB4-C36DB73C41C8}">
      <formula1>"Wensum, Yare, Bure"</formula1>
    </dataValidation>
    <dataValidation type="list" allowBlank="1" showInputMessage="1" showErrorMessage="1" sqref="W15 M21:M23 K15:L15 W23 M26:M43 W26:W43" xr:uid="{937B1339-9289-4C63-AD15-93A3A764D7A0}">
      <formula1>"Yes,No"</formula1>
    </dataValidation>
    <dataValidation type="list" allowBlank="1" showInputMessage="1" showErrorMessage="1" sqref="W22" xr:uid="{95015AFC-28B1-401D-985F-7236BD33279D}">
      <formula1>"550-575,575-600,600-625,625-650,650-675,675-700,700-750,750-800,800-850,850-900"</formula1>
    </dataValidation>
  </dataValidations>
  <hyperlinks>
    <hyperlink ref="Q24:AA24" location="Help!C98" display="Note: Identify the soil drainage type from the Viewer, and use the criteria table in the Help tab to identify if the soil is either permeable or impermeable" xr:uid="{E9547894-FB5D-43DE-B369-877EBCE46834}"/>
  </hyperlinks>
  <pageMargins left="0.25" right="0.25" top="0.75" bottom="0.75" header="0.3" footer="0.3"/>
  <pageSetup paperSize="9" scale="48"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A1E2-E074-4D63-A2D9-1D11183CB0E6}">
  <sheetPr>
    <tabColor theme="7" tint="0.79998168889431442"/>
    <pageSetUpPr fitToPage="1"/>
  </sheetPr>
  <dimension ref="A1:BA98"/>
  <sheetViews>
    <sheetView zoomScale="85" zoomScaleNormal="85" workbookViewId="0">
      <selection activeCell="K16" sqref="K16:M16"/>
    </sheetView>
  </sheetViews>
  <sheetFormatPr defaultRowHeight="13.2" zeroHeight="1" x14ac:dyDescent="0.25"/>
  <cols>
    <col min="2" max="3" width="0.77734375" customWidth="1"/>
    <col min="4" max="4" width="2.21875" customWidth="1"/>
    <col min="5" max="5" width="11.77734375" customWidth="1"/>
    <col min="7" max="7" width="10" customWidth="1"/>
    <col min="8" max="8" width="10.21875" customWidth="1"/>
    <col min="9" max="9" width="14" customWidth="1"/>
    <col min="10" max="10" width="13.5546875" customWidth="1"/>
    <col min="11" max="11" width="10" customWidth="1"/>
    <col min="12" max="12" width="2.21875" customWidth="1"/>
    <col min="13" max="13" width="10" customWidth="1"/>
    <col min="14" max="14" width="12.77734375" customWidth="1"/>
    <col min="15" max="15" width="16" customWidth="1"/>
    <col min="16" max="16" width="10.5546875" customWidth="1"/>
    <col min="17" max="17" width="2.21875" customWidth="1"/>
    <col min="18" max="18" width="10.21875" customWidth="1"/>
    <col min="19" max="19" width="11.44140625" customWidth="1"/>
    <col min="20" max="20" width="5.44140625" customWidth="1"/>
    <col min="21" max="21" width="0.77734375" customWidth="1"/>
    <col min="22" max="22" width="12.21875" customWidth="1"/>
    <col min="24" max="24" width="25.5546875" customWidth="1"/>
    <col min="25" max="25" width="12.21875" customWidth="1"/>
    <col min="26" max="26" width="11.21875" customWidth="1"/>
    <col min="27" max="27" width="7" hidden="1" customWidth="1"/>
    <col min="28" max="28" width="0.21875" hidden="1" customWidth="1"/>
    <col min="29" max="29" width="2.21875" customWidth="1"/>
    <col min="34" max="34" width="8.77734375" customWidth="1"/>
  </cols>
  <sheetData>
    <row r="1" spans="1:29" ht="9" customHeight="1" thickBot="1" x14ac:dyDescent="0.35">
      <c r="A1" s="40" t="s">
        <v>550</v>
      </c>
    </row>
    <row r="2" spans="1:29" ht="9" customHeight="1" x14ac:dyDescent="0.3">
      <c r="B2" s="43"/>
      <c r="C2" s="44"/>
      <c r="D2" s="309"/>
      <c r="E2" s="309"/>
      <c r="F2" s="309"/>
      <c r="G2" s="309"/>
      <c r="H2" s="309"/>
      <c r="I2" s="309"/>
      <c r="J2" s="309"/>
      <c r="K2" s="309"/>
      <c r="L2" s="309"/>
      <c r="M2" s="309"/>
      <c r="N2" s="309"/>
      <c r="O2" s="309"/>
      <c r="P2" s="309"/>
      <c r="Q2" s="309"/>
      <c r="R2" s="309"/>
      <c r="S2" s="309"/>
      <c r="T2" s="309"/>
      <c r="U2" s="310"/>
      <c r="V2" s="229"/>
      <c r="W2" s="229"/>
      <c r="X2" s="229"/>
      <c r="Y2" s="229"/>
      <c r="Z2" s="229"/>
      <c r="AA2" s="229"/>
      <c r="AB2" s="229"/>
      <c r="AC2" s="229"/>
    </row>
    <row r="3" spans="1:29" ht="28.5" customHeight="1" x14ac:dyDescent="0.3">
      <c r="B3" s="46"/>
      <c r="C3" s="40"/>
      <c r="D3" s="278"/>
      <c r="E3" s="197" t="s">
        <v>550</v>
      </c>
      <c r="F3" s="441" t="s">
        <v>426</v>
      </c>
      <c r="G3" s="441"/>
      <c r="H3" s="441"/>
      <c r="I3" s="441"/>
      <c r="J3" s="441"/>
      <c r="K3" s="441"/>
      <c r="L3" s="441"/>
      <c r="M3" s="441"/>
      <c r="N3" s="441"/>
      <c r="O3" s="441"/>
      <c r="P3" s="441"/>
      <c r="Q3" s="441"/>
      <c r="R3" s="441"/>
      <c r="S3" s="441"/>
      <c r="T3" s="441"/>
      <c r="U3" s="235"/>
      <c r="V3" s="229"/>
      <c r="W3" s="229"/>
      <c r="X3" s="229"/>
      <c r="Y3" s="229"/>
      <c r="Z3" s="229"/>
      <c r="AA3" s="229"/>
      <c r="AB3" s="229"/>
      <c r="AC3" s="229"/>
    </row>
    <row r="4" spans="1:29" ht="6.75" customHeight="1" x14ac:dyDescent="0.3">
      <c r="B4" s="46"/>
      <c r="C4" s="54"/>
      <c r="D4" s="279"/>
      <c r="E4" s="436" t="s">
        <v>590</v>
      </c>
      <c r="F4" s="436"/>
      <c r="G4" s="436"/>
      <c r="H4" s="436"/>
      <c r="I4" s="436"/>
      <c r="J4" s="436"/>
      <c r="K4" s="436"/>
      <c r="L4" s="436"/>
      <c r="M4" s="436"/>
      <c r="N4" s="436"/>
      <c r="O4" s="436"/>
      <c r="P4" s="436"/>
      <c r="Q4" s="436"/>
      <c r="R4" s="436"/>
      <c r="S4" s="436"/>
      <c r="T4" s="436"/>
      <c r="U4" s="235"/>
      <c r="V4" s="229"/>
      <c r="W4" s="229"/>
      <c r="X4" s="229"/>
      <c r="Y4" s="229"/>
      <c r="Z4" s="229"/>
      <c r="AA4" s="229"/>
      <c r="AB4" s="229"/>
      <c r="AC4" s="229"/>
    </row>
    <row r="5" spans="1:29" ht="6.75" customHeight="1" x14ac:dyDescent="0.3">
      <c r="B5" s="46"/>
      <c r="C5" s="54"/>
      <c r="D5" s="279"/>
      <c r="E5" s="436"/>
      <c r="F5" s="436"/>
      <c r="G5" s="436"/>
      <c r="H5" s="436"/>
      <c r="I5" s="436"/>
      <c r="J5" s="436"/>
      <c r="K5" s="436"/>
      <c r="L5" s="436"/>
      <c r="M5" s="436"/>
      <c r="N5" s="436"/>
      <c r="O5" s="436"/>
      <c r="P5" s="436"/>
      <c r="Q5" s="436"/>
      <c r="R5" s="436"/>
      <c r="S5" s="436"/>
      <c r="T5" s="436"/>
      <c r="U5" s="235"/>
      <c r="V5" s="229"/>
      <c r="W5" s="229"/>
      <c r="X5" s="229"/>
      <c r="Y5" s="229"/>
      <c r="Z5" s="229"/>
      <c r="AA5" s="229"/>
      <c r="AB5" s="229"/>
      <c r="AC5" s="229"/>
    </row>
    <row r="6" spans="1:29" ht="24.75" customHeight="1" x14ac:dyDescent="0.3">
      <c r="B6" s="46"/>
      <c r="C6" s="42"/>
      <c r="D6" s="227"/>
      <c r="E6" s="436"/>
      <c r="F6" s="436"/>
      <c r="G6" s="436"/>
      <c r="H6" s="436"/>
      <c r="I6" s="436"/>
      <c r="J6" s="436"/>
      <c r="K6" s="436"/>
      <c r="L6" s="436"/>
      <c r="M6" s="436"/>
      <c r="N6" s="436"/>
      <c r="O6" s="436"/>
      <c r="P6" s="436"/>
      <c r="Q6" s="436"/>
      <c r="R6" s="436"/>
      <c r="S6" s="436"/>
      <c r="T6" s="436"/>
      <c r="U6" s="235"/>
      <c r="V6" s="229"/>
      <c r="W6" s="229"/>
      <c r="X6" s="229"/>
      <c r="Y6" s="229"/>
      <c r="Z6" s="229"/>
      <c r="AA6" s="229"/>
      <c r="AB6" s="229"/>
      <c r="AC6" s="229"/>
    </row>
    <row r="7" spans="1:29" ht="21" customHeight="1" x14ac:dyDescent="0.3">
      <c r="B7" s="46"/>
      <c r="C7" s="42"/>
      <c r="D7" s="272"/>
      <c r="E7" s="280"/>
      <c r="F7" s="280"/>
      <c r="G7" s="280"/>
      <c r="H7" s="280"/>
      <c r="I7" s="280"/>
      <c r="J7" s="280"/>
      <c r="K7" s="280"/>
      <c r="L7" s="280"/>
      <c r="M7" s="280"/>
      <c r="N7" s="280"/>
      <c r="O7" s="280"/>
      <c r="P7" s="280"/>
      <c r="Q7" s="280"/>
      <c r="R7" s="280"/>
      <c r="S7" s="280"/>
      <c r="T7" s="280"/>
      <c r="U7" s="235"/>
      <c r="V7" s="229"/>
      <c r="W7" s="229"/>
      <c r="X7" s="229"/>
      <c r="Y7" s="229"/>
      <c r="Z7" s="229"/>
      <c r="AA7" s="229"/>
      <c r="AB7" s="229"/>
      <c r="AC7" s="229"/>
    </row>
    <row r="8" spans="1:29" ht="37.5" customHeight="1" x14ac:dyDescent="0.3">
      <c r="B8" s="46"/>
      <c r="C8" s="55"/>
      <c r="D8" s="227"/>
      <c r="E8" s="48" t="s">
        <v>5</v>
      </c>
      <c r="F8" s="375" t="s">
        <v>498</v>
      </c>
      <c r="G8" s="375"/>
      <c r="H8" s="375"/>
      <c r="I8" s="375"/>
      <c r="J8" s="375"/>
      <c r="K8" s="144" t="s">
        <v>2</v>
      </c>
      <c r="L8" s="144"/>
      <c r="M8" s="144" t="s">
        <v>3</v>
      </c>
      <c r="N8" s="226"/>
      <c r="O8" s="144"/>
      <c r="P8" s="144"/>
      <c r="Q8" s="144"/>
      <c r="R8" s="144"/>
      <c r="S8" s="144"/>
      <c r="T8" s="49"/>
      <c r="U8" s="235"/>
      <c r="V8" s="229"/>
      <c r="W8" s="229"/>
      <c r="X8" s="229"/>
      <c r="Y8" s="229"/>
      <c r="Z8" s="229"/>
      <c r="AA8" s="229"/>
      <c r="AB8" s="229"/>
      <c r="AC8" s="229"/>
    </row>
    <row r="9" spans="1:29" ht="4.5" customHeight="1" x14ac:dyDescent="0.3">
      <c r="B9" s="46"/>
      <c r="C9" s="42"/>
      <c r="D9" s="227"/>
      <c r="E9" s="49"/>
      <c r="F9" s="49"/>
      <c r="G9" s="49"/>
      <c r="H9" s="49"/>
      <c r="I9" s="49"/>
      <c r="J9" s="49"/>
      <c r="K9" s="49"/>
      <c r="L9" s="49"/>
      <c r="M9" s="49"/>
      <c r="N9" s="226"/>
      <c r="O9" s="49"/>
      <c r="P9" s="49"/>
      <c r="Q9" s="49"/>
      <c r="R9" s="49"/>
      <c r="S9" s="49"/>
      <c r="T9" s="49"/>
      <c r="U9" s="235"/>
      <c r="V9" s="229"/>
      <c r="W9" s="229"/>
      <c r="X9" s="229"/>
      <c r="Y9" s="229"/>
      <c r="Z9" s="229"/>
      <c r="AA9" s="229"/>
      <c r="AB9" s="229"/>
      <c r="AC9" s="229"/>
    </row>
    <row r="10" spans="1:29" ht="31.05" customHeight="1" x14ac:dyDescent="0.3">
      <c r="B10" s="46"/>
      <c r="C10" s="42"/>
      <c r="D10" s="227"/>
      <c r="E10" s="49"/>
      <c r="F10" s="38" t="s">
        <v>428</v>
      </c>
      <c r="G10" s="49"/>
      <c r="H10" s="49"/>
      <c r="I10" s="49"/>
      <c r="J10" s="49"/>
      <c r="K10" s="273">
        <f>IF('Stage 4'!O43&gt;0,'Stage 4'!O43,0)</f>
        <v>0</v>
      </c>
      <c r="L10" s="269"/>
      <c r="M10" s="246" t="s">
        <v>15</v>
      </c>
      <c r="N10" s="226"/>
      <c r="O10" s="246"/>
      <c r="P10" s="246"/>
      <c r="Q10" s="246"/>
      <c r="R10" s="246"/>
      <c r="S10" s="246"/>
      <c r="T10" s="49"/>
      <c r="U10" s="235"/>
      <c r="V10" s="229"/>
      <c r="W10" s="229"/>
      <c r="X10" s="229"/>
      <c r="Y10" s="229"/>
      <c r="Z10" s="229"/>
      <c r="AA10" s="229"/>
      <c r="AB10" s="229"/>
      <c r="AC10" s="229"/>
    </row>
    <row r="11" spans="1:29" ht="23.55" customHeight="1" x14ac:dyDescent="0.3">
      <c r="B11" s="46"/>
      <c r="C11" s="42"/>
      <c r="D11" s="227"/>
      <c r="E11" s="49"/>
      <c r="F11" s="38" t="s">
        <v>427</v>
      </c>
      <c r="G11" s="49"/>
      <c r="H11" s="49"/>
      <c r="I11" s="49"/>
      <c r="J11" s="49"/>
      <c r="K11" s="273">
        <f>IF('Stage 4'!O44&gt;0,'Stage 4'!O44,0)</f>
        <v>0</v>
      </c>
      <c r="L11" s="269"/>
      <c r="M11" s="246" t="s">
        <v>15</v>
      </c>
      <c r="N11" s="226"/>
      <c r="O11" s="246"/>
      <c r="P11" s="246"/>
      <c r="Q11" s="246"/>
      <c r="R11" s="246"/>
      <c r="S11" s="246"/>
      <c r="T11" s="49"/>
      <c r="U11" s="235"/>
      <c r="V11" s="229"/>
      <c r="W11" s="229"/>
      <c r="X11" s="229"/>
      <c r="Y11" s="229"/>
      <c r="Z11" s="229"/>
      <c r="AA11" s="229"/>
      <c r="AB11" s="229"/>
      <c r="AC11" s="229"/>
    </row>
    <row r="12" spans="1:29" ht="17.55" customHeight="1" thickBot="1" x14ac:dyDescent="0.35">
      <c r="B12" s="46"/>
      <c r="C12" s="42"/>
      <c r="D12" s="227"/>
      <c r="E12" s="49"/>
      <c r="F12" s="49"/>
      <c r="G12" s="49"/>
      <c r="H12" s="49"/>
      <c r="I12" s="49"/>
      <c r="J12" s="49"/>
      <c r="K12" s="49"/>
      <c r="L12" s="49"/>
      <c r="M12" s="49"/>
      <c r="N12" s="49"/>
      <c r="O12" s="49"/>
      <c r="P12" s="49"/>
      <c r="Q12" s="49"/>
      <c r="R12" s="247"/>
      <c r="S12" s="247"/>
      <c r="T12" s="247"/>
      <c r="U12" s="235"/>
      <c r="V12" s="311"/>
      <c r="W12" s="252"/>
      <c r="X12" s="252"/>
      <c r="Y12" s="252"/>
      <c r="Z12" s="252"/>
      <c r="AA12" s="252"/>
      <c r="AB12" s="252"/>
      <c r="AC12" s="252"/>
    </row>
    <row r="13" spans="1:29" ht="7.05" customHeight="1" x14ac:dyDescent="0.3">
      <c r="B13" s="46"/>
      <c r="C13" s="42"/>
      <c r="D13" s="272"/>
      <c r="E13" s="259"/>
      <c r="F13" s="259"/>
      <c r="G13" s="259"/>
      <c r="H13" s="259"/>
      <c r="I13" s="259"/>
      <c r="J13" s="259"/>
      <c r="K13" s="259"/>
      <c r="L13" s="259"/>
      <c r="M13" s="259"/>
      <c r="N13" s="259"/>
      <c r="O13" s="259"/>
      <c r="P13" s="259"/>
      <c r="Q13" s="259"/>
      <c r="R13" s="49"/>
      <c r="S13" s="49"/>
      <c r="T13" s="49"/>
      <c r="U13" s="227"/>
      <c r="V13" s="227"/>
      <c r="W13" s="227"/>
      <c r="X13" s="227"/>
      <c r="Y13" s="227"/>
      <c r="Z13" s="227"/>
      <c r="AA13" s="227"/>
      <c r="AB13" s="227"/>
      <c r="AC13" s="312"/>
    </row>
    <row r="14" spans="1:29" ht="16.05" customHeight="1" x14ac:dyDescent="0.3">
      <c r="B14" s="46"/>
      <c r="C14" s="42"/>
      <c r="D14" s="227"/>
      <c r="E14" s="48" t="s">
        <v>8</v>
      </c>
      <c r="F14" s="375" t="s">
        <v>64</v>
      </c>
      <c r="G14" s="375"/>
      <c r="H14" s="375"/>
      <c r="I14" s="375"/>
      <c r="J14" s="375"/>
      <c r="K14" s="49"/>
      <c r="L14" s="49"/>
      <c r="M14" s="49"/>
      <c r="N14" s="49"/>
      <c r="O14" s="49"/>
      <c r="P14" s="49"/>
      <c r="Q14" s="49"/>
      <c r="R14" s="49"/>
      <c r="S14" s="49"/>
      <c r="T14" s="49"/>
      <c r="U14" s="49"/>
      <c r="V14" s="49"/>
      <c r="W14" s="49"/>
      <c r="X14" s="49"/>
      <c r="Y14" s="49"/>
      <c r="Z14" s="49"/>
      <c r="AA14" s="49"/>
      <c r="AB14" s="49"/>
      <c r="AC14" s="313"/>
    </row>
    <row r="15" spans="1:29" ht="10.5" customHeight="1" x14ac:dyDescent="0.3">
      <c r="B15" s="46"/>
      <c r="C15" s="42"/>
      <c r="D15" s="227"/>
      <c r="E15" s="49"/>
      <c r="F15" s="49"/>
      <c r="G15" s="49"/>
      <c r="H15" s="49"/>
      <c r="I15" s="49"/>
      <c r="J15" s="49"/>
      <c r="K15" s="49"/>
      <c r="L15" s="49"/>
      <c r="M15" s="49"/>
      <c r="N15" s="49"/>
      <c r="O15" s="49"/>
      <c r="P15" s="258"/>
      <c r="Q15" s="49"/>
      <c r="R15" s="49"/>
      <c r="S15" s="49"/>
      <c r="T15" s="49"/>
      <c r="U15" s="49"/>
      <c r="V15" s="49"/>
      <c r="W15" s="49"/>
      <c r="X15" s="49"/>
      <c r="Y15" s="66"/>
      <c r="Z15" s="49"/>
      <c r="AA15" s="49"/>
      <c r="AB15" s="49"/>
      <c r="AC15" s="313"/>
    </row>
    <row r="16" spans="1:29" ht="14.55" customHeight="1" x14ac:dyDescent="0.3">
      <c r="B16" s="46"/>
      <c r="C16" s="42"/>
      <c r="D16" s="227"/>
      <c r="E16" s="66" t="s">
        <v>57</v>
      </c>
      <c r="F16" s="49" t="s">
        <v>79</v>
      </c>
      <c r="G16" s="49"/>
      <c r="H16" s="49"/>
      <c r="I16" s="49"/>
      <c r="J16" s="49"/>
      <c r="K16" s="458" t="s">
        <v>61</v>
      </c>
      <c r="L16" s="458"/>
      <c r="M16" s="458"/>
      <c r="N16" s="66"/>
      <c r="O16" s="49"/>
      <c r="P16" s="258"/>
      <c r="Q16" s="49"/>
      <c r="R16" s="67" t="s">
        <v>58</v>
      </c>
      <c r="S16" s="67"/>
      <c r="T16" s="375" t="s">
        <v>80</v>
      </c>
      <c r="U16" s="375"/>
      <c r="V16" s="375"/>
      <c r="W16" s="375"/>
      <c r="X16" s="375"/>
      <c r="Y16" s="238" t="s">
        <v>61</v>
      </c>
      <c r="Z16" s="49"/>
      <c r="AA16" s="49"/>
      <c r="AB16" s="49"/>
      <c r="AC16" s="313"/>
    </row>
    <row r="17" spans="2:53" ht="14.55" customHeight="1" x14ac:dyDescent="0.3">
      <c r="B17" s="46"/>
      <c r="C17" s="42"/>
      <c r="D17" s="227"/>
      <c r="E17" s="49"/>
      <c r="F17" s="49"/>
      <c r="G17" s="49"/>
      <c r="H17" s="49"/>
      <c r="I17" s="49"/>
      <c r="J17" s="49"/>
      <c r="K17" s="49"/>
      <c r="L17" s="49"/>
      <c r="M17" s="49"/>
      <c r="N17" s="49"/>
      <c r="O17" s="49"/>
      <c r="P17" s="258"/>
      <c r="Q17" s="49"/>
      <c r="R17" s="49"/>
      <c r="S17" s="49"/>
      <c r="T17" s="49"/>
      <c r="U17" s="49"/>
      <c r="V17" s="49"/>
      <c r="W17" s="49"/>
      <c r="X17" s="49"/>
      <c r="Y17" s="49"/>
      <c r="Z17" s="49"/>
      <c r="AA17" s="49"/>
      <c r="AB17" s="49"/>
      <c r="AC17" s="313"/>
    </row>
    <row r="18" spans="2:53" ht="45" customHeight="1" x14ac:dyDescent="0.3">
      <c r="B18" s="46"/>
      <c r="C18" s="42"/>
      <c r="D18" s="227"/>
      <c r="E18" s="457" t="s">
        <v>88</v>
      </c>
      <c r="F18" s="457"/>
      <c r="G18" s="457"/>
      <c r="H18" s="457"/>
      <c r="I18" s="457"/>
      <c r="J18" s="457"/>
      <c r="K18" s="457"/>
      <c r="L18" s="457"/>
      <c r="M18" s="457"/>
      <c r="N18" s="457"/>
      <c r="O18" s="457"/>
      <c r="P18" s="258"/>
      <c r="Q18" s="49"/>
      <c r="R18" s="49"/>
      <c r="S18" s="49"/>
      <c r="T18" s="457" t="s">
        <v>85</v>
      </c>
      <c r="U18" s="457"/>
      <c r="V18" s="457"/>
      <c r="W18" s="457"/>
      <c r="X18" s="457"/>
      <c r="Y18" s="457"/>
      <c r="Z18" s="457"/>
      <c r="AA18" s="314"/>
      <c r="AB18" s="314"/>
      <c r="AC18" s="313"/>
    </row>
    <row r="19" spans="2:53" ht="14.55" customHeight="1" x14ac:dyDescent="0.3">
      <c r="B19" s="46"/>
      <c r="C19" s="42"/>
      <c r="D19" s="227"/>
      <c r="E19" s="49"/>
      <c r="F19" s="49"/>
      <c r="G19" s="49"/>
      <c r="H19" s="49"/>
      <c r="I19" s="49"/>
      <c r="J19" s="49"/>
      <c r="K19" s="49"/>
      <c r="L19" s="49"/>
      <c r="M19" s="49"/>
      <c r="N19" s="49"/>
      <c r="O19" s="49"/>
      <c r="P19" s="258"/>
      <c r="Q19" s="49"/>
      <c r="R19" s="49"/>
      <c r="S19" s="49"/>
      <c r="T19" s="375" t="s">
        <v>84</v>
      </c>
      <c r="U19" s="375"/>
      <c r="V19" s="375"/>
      <c r="W19" s="375"/>
      <c r="X19" s="375"/>
      <c r="Y19" s="375"/>
      <c r="Z19" s="375"/>
      <c r="AA19" s="49"/>
      <c r="AB19" s="49"/>
      <c r="AC19" s="313"/>
    </row>
    <row r="20" spans="2:53" ht="16.05" customHeight="1" x14ac:dyDescent="0.3">
      <c r="B20" s="46"/>
      <c r="C20" s="42"/>
      <c r="D20" s="227"/>
      <c r="E20" s="66"/>
      <c r="F20" s="375" t="s">
        <v>134</v>
      </c>
      <c r="G20" s="375"/>
      <c r="H20" s="375"/>
      <c r="I20" s="375"/>
      <c r="J20" s="375"/>
      <c r="K20" s="144" t="s">
        <v>2</v>
      </c>
      <c r="L20" s="144"/>
      <c r="M20" s="144"/>
      <c r="N20" s="66"/>
      <c r="O20" s="144" t="s">
        <v>3</v>
      </c>
      <c r="P20" s="258"/>
      <c r="Q20" s="49"/>
      <c r="R20" s="49"/>
      <c r="S20" s="49"/>
      <c r="T20" s="226"/>
      <c r="U20" s="226"/>
      <c r="V20" s="226"/>
      <c r="W20" s="226"/>
      <c r="X20" s="226"/>
      <c r="Y20" s="226"/>
      <c r="Z20" s="226"/>
      <c r="AA20" s="142"/>
      <c r="AB20" s="142"/>
      <c r="AC20" s="313"/>
    </row>
    <row r="21" spans="2:53" ht="13.5" customHeight="1" x14ac:dyDescent="0.3">
      <c r="B21" s="46"/>
      <c r="C21" s="42"/>
      <c r="D21" s="227"/>
      <c r="E21" s="49"/>
      <c r="F21" s="49"/>
      <c r="G21" s="49"/>
      <c r="H21" s="49"/>
      <c r="I21" s="49"/>
      <c r="J21" s="49"/>
      <c r="K21" s="144" t="s">
        <v>429</v>
      </c>
      <c r="L21" s="144"/>
      <c r="M21" s="144" t="s">
        <v>430</v>
      </c>
      <c r="N21" s="49"/>
      <c r="O21" s="49"/>
      <c r="P21" s="258"/>
      <c r="Q21" s="49"/>
      <c r="R21" s="49"/>
      <c r="S21" s="49"/>
      <c r="T21" s="375" t="s">
        <v>373</v>
      </c>
      <c r="U21" s="375"/>
      <c r="V21" s="375"/>
      <c r="W21" s="375"/>
      <c r="X21" s="375"/>
      <c r="Y21" s="238" t="s">
        <v>378</v>
      </c>
      <c r="Z21" s="49"/>
      <c r="AA21" s="49"/>
      <c r="AB21" s="49"/>
      <c r="AC21" s="313"/>
    </row>
    <row r="22" spans="2:53" ht="41.1" customHeight="1" x14ac:dyDescent="0.3">
      <c r="B22" s="46"/>
      <c r="C22" s="42"/>
      <c r="D22" s="227"/>
      <c r="E22" s="49"/>
      <c r="F22" s="390" t="s">
        <v>82</v>
      </c>
      <c r="G22" s="390"/>
      <c r="H22" s="390"/>
      <c r="I22" s="390"/>
      <c r="J22" s="390"/>
      <c r="K22" s="273" t="e">
        <f>'Stage 2'!K46/'Stage 2'!K41</f>
        <v>#DIV/0!</v>
      </c>
      <c r="L22" s="269"/>
      <c r="M22" s="273" t="e">
        <f>'Stage 2'!K48/'Stage 2'!K41</f>
        <v>#DIV/0!</v>
      </c>
      <c r="N22" s="238" t="s">
        <v>61</v>
      </c>
      <c r="O22" s="246" t="s">
        <v>78</v>
      </c>
      <c r="P22" s="258"/>
      <c r="Q22" s="49"/>
      <c r="R22" s="48"/>
      <c r="S22" s="48"/>
      <c r="T22" s="375" t="s">
        <v>372</v>
      </c>
      <c r="U22" s="375"/>
      <c r="V22" s="375"/>
      <c r="W22" s="375"/>
      <c r="X22" s="375"/>
      <c r="Y22" s="257" t="s">
        <v>377</v>
      </c>
      <c r="Z22" s="49"/>
      <c r="AA22" s="142"/>
      <c r="AB22" s="142"/>
      <c r="AC22" s="313"/>
    </row>
    <row r="23" spans="2:53" ht="16.05" customHeight="1" x14ac:dyDescent="0.3">
      <c r="B23" s="46"/>
      <c r="C23" s="42"/>
      <c r="D23" s="227"/>
      <c r="E23" s="49"/>
      <c r="F23" s="146"/>
      <c r="G23" s="146"/>
      <c r="H23" s="146"/>
      <c r="I23" s="146"/>
      <c r="J23" s="146"/>
      <c r="K23" s="269"/>
      <c r="L23" s="269"/>
      <c r="M23" s="269"/>
      <c r="N23" s="239"/>
      <c r="O23" s="246"/>
      <c r="P23" s="258"/>
      <c r="Q23" s="49"/>
      <c r="R23" s="48"/>
      <c r="S23" s="48"/>
      <c r="T23" s="375" t="s">
        <v>376</v>
      </c>
      <c r="U23" s="375"/>
      <c r="V23" s="375"/>
      <c r="W23" s="375"/>
      <c r="X23" s="375"/>
      <c r="Y23" s="238" t="s">
        <v>468</v>
      </c>
      <c r="Z23" s="142"/>
      <c r="AA23" s="142"/>
      <c r="AB23" s="142"/>
      <c r="AC23" s="313"/>
    </row>
    <row r="24" spans="2:53" ht="16.05" customHeight="1" x14ac:dyDescent="0.3">
      <c r="B24" s="46"/>
      <c r="C24" s="42"/>
      <c r="D24" s="227"/>
      <c r="E24" s="49"/>
      <c r="F24" s="146"/>
      <c r="G24" s="146"/>
      <c r="H24" s="146"/>
      <c r="I24" s="146"/>
      <c r="J24" s="146"/>
      <c r="K24" s="269"/>
      <c r="L24" s="269"/>
      <c r="M24" s="269"/>
      <c r="N24" s="239"/>
      <c r="O24" s="246"/>
      <c r="P24" s="258"/>
      <c r="Q24" s="49"/>
      <c r="R24" s="48"/>
      <c r="S24" s="48"/>
      <c r="T24" s="375" t="s">
        <v>374</v>
      </c>
      <c r="U24" s="375"/>
      <c r="V24" s="375"/>
      <c r="W24" s="375"/>
      <c r="X24" s="375"/>
      <c r="Y24" s="238" t="s">
        <v>13</v>
      </c>
      <c r="Z24" s="142"/>
      <c r="AA24" s="142"/>
      <c r="AB24" s="142"/>
      <c r="AC24" s="313"/>
    </row>
    <row r="25" spans="2:53" ht="20.100000000000001" customHeight="1" x14ac:dyDescent="0.3">
      <c r="B25" s="46"/>
      <c r="C25" s="42"/>
      <c r="D25" s="227"/>
      <c r="E25" s="49"/>
      <c r="F25" s="38"/>
      <c r="G25" s="49"/>
      <c r="H25" s="49"/>
      <c r="I25" s="49"/>
      <c r="J25" s="49"/>
      <c r="K25" s="269"/>
      <c r="L25" s="269"/>
      <c r="M25" s="269"/>
      <c r="N25" s="144"/>
      <c r="O25" s="246"/>
      <c r="P25" s="258"/>
      <c r="Q25" s="49"/>
      <c r="R25" s="459"/>
      <c r="S25" s="459"/>
      <c r="T25" s="459"/>
      <c r="U25" s="459"/>
      <c r="V25" s="459"/>
      <c r="W25" s="459"/>
      <c r="X25" s="459"/>
      <c r="Y25" s="459"/>
      <c r="Z25" s="459"/>
      <c r="AA25" s="459"/>
      <c r="AB25" s="459"/>
      <c r="AC25" s="460"/>
    </row>
    <row r="26" spans="2:53" ht="24" customHeight="1" x14ac:dyDescent="0.3">
      <c r="B26" s="46"/>
      <c r="C26" s="42"/>
      <c r="D26" s="227"/>
      <c r="E26" s="49"/>
      <c r="F26" s="390" t="s">
        <v>81</v>
      </c>
      <c r="G26" s="390"/>
      <c r="H26" s="390"/>
      <c r="I26" s="390"/>
      <c r="J26" s="390"/>
      <c r="K26" s="144" t="s">
        <v>429</v>
      </c>
      <c r="L26" s="144"/>
      <c r="M26" s="144" t="s">
        <v>430</v>
      </c>
      <c r="N26" s="49"/>
      <c r="O26" s="246"/>
      <c r="P26" s="258"/>
      <c r="Q26" s="49"/>
      <c r="R26" s="49"/>
      <c r="S26" s="49"/>
      <c r="T26" s="390" t="s">
        <v>83</v>
      </c>
      <c r="U26" s="390"/>
      <c r="V26" s="390"/>
      <c r="W26" s="390"/>
      <c r="X26" s="390"/>
      <c r="Y26" s="49"/>
      <c r="Z26" s="49"/>
      <c r="AA26" s="281" t="s">
        <v>389</v>
      </c>
      <c r="AB26" s="281" t="s">
        <v>390</v>
      </c>
      <c r="AC26" s="313"/>
      <c r="AP26" s="114"/>
    </row>
    <row r="27" spans="2:53" ht="16.05" customHeight="1" x14ac:dyDescent="0.3">
      <c r="B27" s="46"/>
      <c r="C27" s="42"/>
      <c r="D27" s="227"/>
      <c r="E27" s="440" t="str">
        <f>'Stage 2'!F22</f>
        <v>High density residential</v>
      </c>
      <c r="F27" s="440"/>
      <c r="G27" s="440"/>
      <c r="H27" s="440"/>
      <c r="I27" s="440"/>
      <c r="J27" s="49"/>
      <c r="K27" s="315" t="str">
        <f>IF('Stage 2'!$K22&gt;0,'Stage 2'!O22/'Stage 2'!$K22,"")</f>
        <v/>
      </c>
      <c r="L27" s="269"/>
      <c r="M27" s="273" t="str">
        <f>IF('Stage 2'!$K22&gt;0,'Stage 2'!Q22/'Stage 2'!$K22,"")</f>
        <v/>
      </c>
      <c r="N27" s="238" t="s">
        <v>61</v>
      </c>
      <c r="O27" s="240" t="s">
        <v>78</v>
      </c>
      <c r="P27" s="258"/>
      <c r="Q27" s="49"/>
      <c r="R27" s="49"/>
      <c r="S27" s="49"/>
      <c r="T27" s="440" t="str">
        <f t="shared" ref="T27:T44" si="0">E27</f>
        <v>High density residential</v>
      </c>
      <c r="U27" s="440"/>
      <c r="V27" s="440"/>
      <c r="W27" s="440"/>
      <c r="X27" s="440"/>
      <c r="Y27" s="238" t="s">
        <v>61</v>
      </c>
      <c r="Z27" s="49"/>
      <c r="AA27" s="283"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283"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13"/>
      <c r="AO27" s="114"/>
      <c r="AQ27" s="114"/>
    </row>
    <row r="28" spans="2:53" ht="16.05" customHeight="1" x14ac:dyDescent="0.3">
      <c r="B28" s="46"/>
      <c r="C28" s="42"/>
      <c r="D28" s="227"/>
      <c r="E28" s="440" t="str">
        <f>'Stage 2'!F23</f>
        <v>Medium density residential</v>
      </c>
      <c r="F28" s="440"/>
      <c r="G28" s="440"/>
      <c r="H28" s="440"/>
      <c r="I28" s="440"/>
      <c r="J28" s="49"/>
      <c r="K28" s="315" t="str">
        <f>IF('Stage 2'!$K23&gt;0,'Stage 2'!O23/'Stage 2'!$K23,"")</f>
        <v/>
      </c>
      <c r="L28" s="269"/>
      <c r="M28" s="273" t="str">
        <f>IF('Stage 2'!$K23&gt;0,'Stage 2'!Q23/'Stage 2'!$K23,"")</f>
        <v/>
      </c>
      <c r="N28" s="238" t="s">
        <v>61</v>
      </c>
      <c r="O28" s="240" t="s">
        <v>78</v>
      </c>
      <c r="P28" s="258"/>
      <c r="Q28" s="49"/>
      <c r="R28" s="49"/>
      <c r="S28" s="49"/>
      <c r="T28" s="440" t="str">
        <f t="shared" si="0"/>
        <v>Medium density residential</v>
      </c>
      <c r="U28" s="440"/>
      <c r="V28" s="440"/>
      <c r="W28" s="440"/>
      <c r="X28" s="440"/>
      <c r="Y28" s="238" t="s">
        <v>61</v>
      </c>
      <c r="Z28" s="49"/>
      <c r="AA28" s="283"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283"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13"/>
    </row>
    <row r="29" spans="2:53" ht="16.05" customHeight="1" x14ac:dyDescent="0.3">
      <c r="B29" s="46"/>
      <c r="C29" s="42"/>
      <c r="D29" s="227"/>
      <c r="E29" s="440" t="str">
        <f>'Stage 2'!F24</f>
        <v>Low density residential</v>
      </c>
      <c r="F29" s="440"/>
      <c r="G29" s="440"/>
      <c r="H29" s="440"/>
      <c r="I29" s="440"/>
      <c r="J29" s="49"/>
      <c r="K29" s="315" t="str">
        <f>IF('Stage 2'!$K24&gt;0,'Stage 2'!O24/'Stage 2'!$K24,"")</f>
        <v/>
      </c>
      <c r="L29" s="269"/>
      <c r="M29" s="273" t="str">
        <f>IF('Stage 2'!$K24&gt;0,'Stage 2'!Q24/'Stage 2'!$K24,"")</f>
        <v/>
      </c>
      <c r="N29" s="238" t="s">
        <v>61</v>
      </c>
      <c r="O29" s="240" t="s">
        <v>78</v>
      </c>
      <c r="P29" s="258"/>
      <c r="Q29" s="49"/>
      <c r="R29" s="49"/>
      <c r="S29" s="49"/>
      <c r="T29" s="440" t="str">
        <f t="shared" si="0"/>
        <v>Low density residential</v>
      </c>
      <c r="U29" s="440"/>
      <c r="V29" s="440"/>
      <c r="W29" s="440"/>
      <c r="X29" s="440"/>
      <c r="Y29" s="238" t="s">
        <v>61</v>
      </c>
      <c r="Z29" s="49"/>
      <c r="AA29" s="283"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283"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13"/>
    </row>
    <row r="30" spans="2:53" ht="16.05" customHeight="1" x14ac:dyDescent="0.3">
      <c r="B30" s="46"/>
      <c r="C30" s="42"/>
      <c r="D30" s="227"/>
      <c r="E30" s="440" t="str">
        <f>'Stage 2'!F25</f>
        <v>Commercial / Industrial</v>
      </c>
      <c r="F30" s="440"/>
      <c r="G30" s="440"/>
      <c r="H30" s="440"/>
      <c r="I30" s="440"/>
      <c r="J30" s="49"/>
      <c r="K30" s="315" t="str">
        <f>IF('Stage 2'!$K25&gt;0,'Stage 2'!O25/'Stage 2'!$K25,"")</f>
        <v/>
      </c>
      <c r="L30" s="269"/>
      <c r="M30" s="273" t="str">
        <f>IF('Stage 2'!$K25&gt;0,'Stage 2'!Q25/'Stage 2'!$K25,"")</f>
        <v/>
      </c>
      <c r="N30" s="238" t="s">
        <v>61</v>
      </c>
      <c r="O30" s="240" t="s">
        <v>78</v>
      </c>
      <c r="P30" s="258"/>
      <c r="Q30" s="49"/>
      <c r="R30" s="49"/>
      <c r="S30" s="49"/>
      <c r="T30" s="440" t="str">
        <f t="shared" si="0"/>
        <v>Commercial / Industrial</v>
      </c>
      <c r="U30" s="440"/>
      <c r="V30" s="440"/>
      <c r="W30" s="440"/>
      <c r="X30" s="440"/>
      <c r="Y30" s="238" t="s">
        <v>61</v>
      </c>
      <c r="Z30" s="49"/>
      <c r="AA30" s="283"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283"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13"/>
    </row>
    <row r="31" spans="2:53" ht="16.05" customHeight="1" x14ac:dyDescent="0.3">
      <c r="B31" s="46"/>
      <c r="C31" s="42"/>
      <c r="D31" s="227"/>
      <c r="E31" s="440" t="str">
        <f>'Stage 2'!F26</f>
        <v>Urban open space</v>
      </c>
      <c r="F31" s="440"/>
      <c r="G31" s="440"/>
      <c r="H31" s="440"/>
      <c r="I31" s="440"/>
      <c r="J31" s="49"/>
      <c r="K31" s="315" t="str">
        <f>IF('Stage 2'!$K26&gt;0,'Stage 2'!O26/'Stage 2'!$K26,"")</f>
        <v/>
      </c>
      <c r="L31" s="269"/>
      <c r="M31" s="273" t="str">
        <f>IF('Stage 2'!$K26&gt;0,'Stage 2'!Q26/'Stage 2'!$K26,"")</f>
        <v/>
      </c>
      <c r="N31" s="238" t="s">
        <v>61</v>
      </c>
      <c r="O31" s="240" t="s">
        <v>78</v>
      </c>
      <c r="P31" s="258"/>
      <c r="Q31" s="49"/>
      <c r="R31" s="49"/>
      <c r="S31" s="49"/>
      <c r="T31" s="440" t="str">
        <f t="shared" si="0"/>
        <v>Urban open space</v>
      </c>
      <c r="U31" s="440"/>
      <c r="V31" s="440"/>
      <c r="W31" s="440"/>
      <c r="X31" s="440"/>
      <c r="Y31" s="238" t="s">
        <v>61</v>
      </c>
      <c r="Z31" s="49"/>
      <c r="AA31" s="283"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283"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13"/>
    </row>
    <row r="32" spans="2:53" ht="16.05" customHeight="1" x14ac:dyDescent="0.3">
      <c r="B32" s="46"/>
      <c r="C32" s="42"/>
      <c r="D32" s="227"/>
      <c r="E32" s="440" t="str">
        <f>'Stage 2'!F27</f>
        <v>Dairy</v>
      </c>
      <c r="F32" s="440"/>
      <c r="G32" s="440"/>
      <c r="H32" s="440"/>
      <c r="I32" s="440"/>
      <c r="J32" s="49"/>
      <c r="K32" s="315" t="str">
        <f>IF('Stage 2'!$K27&gt;0,'Stage 2'!O27/'Stage 2'!$K27,"")</f>
        <v/>
      </c>
      <c r="L32" s="281"/>
      <c r="M32" s="273" t="str">
        <f>IF('Stage 2'!$K27&gt;0,'Stage 2'!Q27/'Stage 2'!$K27,"")</f>
        <v/>
      </c>
      <c r="N32" s="238" t="s">
        <v>61</v>
      </c>
      <c r="O32" s="240" t="s">
        <v>78</v>
      </c>
      <c r="P32" s="258"/>
      <c r="Q32" s="49"/>
      <c r="R32" s="49"/>
      <c r="S32" s="49"/>
      <c r="T32" s="440" t="str">
        <f t="shared" si="0"/>
        <v>Dairy</v>
      </c>
      <c r="U32" s="440"/>
      <c r="V32" s="440"/>
      <c r="W32" s="440"/>
      <c r="X32" s="440"/>
      <c r="Y32" s="238" t="s">
        <v>61</v>
      </c>
      <c r="Z32" s="49"/>
      <c r="AA32" s="285"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285"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13"/>
      <c r="AF32" s="94"/>
      <c r="AG32" s="94"/>
      <c r="AH32" s="94"/>
      <c r="AI32" s="94"/>
      <c r="AJ32" s="94"/>
      <c r="AK32" s="94"/>
      <c r="AL32" s="94"/>
      <c r="AM32" s="94"/>
      <c r="AN32" s="94"/>
      <c r="AO32" s="94"/>
      <c r="AP32" s="94"/>
      <c r="AQ32" s="94"/>
      <c r="AR32" s="94"/>
      <c r="AT32" s="94"/>
      <c r="AU32" s="94"/>
      <c r="AV32" s="94"/>
      <c r="AW32" s="94"/>
      <c r="AX32" s="94"/>
      <c r="AY32" s="94"/>
      <c r="AZ32" s="94"/>
      <c r="BA32" s="94"/>
    </row>
    <row r="33" spans="2:53" ht="16.05" customHeight="1" x14ac:dyDescent="0.3">
      <c r="B33" s="46"/>
      <c r="C33" s="42"/>
      <c r="D33" s="227"/>
      <c r="E33" s="440" t="str">
        <f>'Stage 2'!F28</f>
        <v>Lowland grazing</v>
      </c>
      <c r="F33" s="440"/>
      <c r="G33" s="440"/>
      <c r="H33" s="440"/>
      <c r="I33" s="440"/>
      <c r="J33" s="49"/>
      <c r="K33" s="315" t="str">
        <f>IF('Stage 2'!$K28&gt;0,'Stage 2'!O28/'Stage 2'!$K28,"")</f>
        <v/>
      </c>
      <c r="L33" s="230"/>
      <c r="M33" s="273" t="str">
        <f>IF('Stage 2'!$K28&gt;0,'Stage 2'!Q28/'Stage 2'!$K28,"")</f>
        <v/>
      </c>
      <c r="N33" s="238" t="s">
        <v>61</v>
      </c>
      <c r="O33" s="240" t="s">
        <v>78</v>
      </c>
      <c r="P33" s="258"/>
      <c r="Q33" s="49"/>
      <c r="R33" s="49"/>
      <c r="S33" s="49"/>
      <c r="T33" s="440" t="str">
        <f t="shared" si="0"/>
        <v>Lowland grazing</v>
      </c>
      <c r="U33" s="440"/>
      <c r="V33" s="440"/>
      <c r="W33" s="440"/>
      <c r="X33" s="440"/>
      <c r="Y33" s="238" t="s">
        <v>61</v>
      </c>
      <c r="Z33" s="49"/>
      <c r="AA33" s="285"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285"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13"/>
      <c r="AF33" s="94"/>
      <c r="AG33" s="94"/>
      <c r="AH33" s="94"/>
      <c r="AI33" s="94"/>
      <c r="AJ33" s="94"/>
      <c r="AK33" s="94"/>
      <c r="AL33" s="94"/>
      <c r="AM33" s="94"/>
      <c r="AN33" s="94"/>
      <c r="AO33" s="94"/>
      <c r="AP33" s="94"/>
      <c r="AQ33" s="94"/>
      <c r="AR33" s="94"/>
      <c r="AT33" s="94"/>
      <c r="AU33" s="94"/>
      <c r="AV33" s="94"/>
      <c r="AW33" s="94"/>
      <c r="AX33" s="94"/>
      <c r="AY33" s="94"/>
      <c r="AZ33" s="94"/>
      <c r="BA33" s="94"/>
    </row>
    <row r="34" spans="2:53" ht="16.05" customHeight="1" x14ac:dyDescent="0.3">
      <c r="B34" s="46"/>
      <c r="C34" s="42"/>
      <c r="D34" s="227"/>
      <c r="E34" s="440" t="str">
        <f>'Stage 2'!F29</f>
        <v>Mixed</v>
      </c>
      <c r="F34" s="440"/>
      <c r="G34" s="440"/>
      <c r="H34" s="440"/>
      <c r="I34" s="440"/>
      <c r="J34" s="49"/>
      <c r="K34" s="315" t="str">
        <f>IF('Stage 2'!$K29&gt;0,'Stage 2'!O29/'Stage 2'!$K29,"")</f>
        <v/>
      </c>
      <c r="L34" s="230"/>
      <c r="M34" s="273" t="str">
        <f>IF('Stage 2'!$K29&gt;0,'Stage 2'!Q29/'Stage 2'!$K29,"")</f>
        <v/>
      </c>
      <c r="N34" s="238" t="s">
        <v>61</v>
      </c>
      <c r="O34" s="240" t="s">
        <v>78</v>
      </c>
      <c r="P34" s="258"/>
      <c r="Q34" s="49"/>
      <c r="R34" s="49"/>
      <c r="S34" s="49"/>
      <c r="T34" s="440" t="str">
        <f t="shared" si="0"/>
        <v>Mixed</v>
      </c>
      <c r="U34" s="440"/>
      <c r="V34" s="440"/>
      <c r="W34" s="440"/>
      <c r="X34" s="440"/>
      <c r="Y34" s="238" t="s">
        <v>61</v>
      </c>
      <c r="Z34" s="49"/>
      <c r="AA34" s="285"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285"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13"/>
      <c r="AF34" s="94"/>
      <c r="AG34" s="94"/>
      <c r="AH34" s="94"/>
      <c r="AI34" s="94"/>
      <c r="AJ34" s="94"/>
      <c r="AK34" s="94"/>
      <c r="AL34" s="94"/>
      <c r="AM34" s="94"/>
      <c r="AN34" s="94"/>
      <c r="AO34" s="94"/>
      <c r="AP34" s="94"/>
      <c r="AQ34" s="94"/>
      <c r="AR34" s="94"/>
      <c r="AT34" s="94"/>
      <c r="AU34" s="94"/>
      <c r="AV34" s="94"/>
      <c r="AW34" s="94"/>
      <c r="AX34" s="94"/>
      <c r="AY34" s="94"/>
      <c r="AZ34" s="94"/>
      <c r="BA34" s="94"/>
    </row>
    <row r="35" spans="2:53" ht="16.05" customHeight="1" x14ac:dyDescent="0.3">
      <c r="B35" s="46"/>
      <c r="C35" s="42"/>
      <c r="D35" s="227"/>
      <c r="E35" s="440" t="str">
        <f>'Stage 2'!F30</f>
        <v>Poultry</v>
      </c>
      <c r="F35" s="440"/>
      <c r="G35" s="440"/>
      <c r="H35" s="440"/>
      <c r="I35" s="440"/>
      <c r="J35" s="49"/>
      <c r="K35" s="315" t="str">
        <f>IF('Stage 2'!$K30&gt;0,'Stage 2'!O30/'Stage 2'!$K30,"")</f>
        <v/>
      </c>
      <c r="L35" s="230"/>
      <c r="M35" s="273" t="str">
        <f>IF('Stage 2'!$K30&gt;0,'Stage 2'!Q30/'Stage 2'!$K30,"")</f>
        <v/>
      </c>
      <c r="N35" s="238" t="s">
        <v>61</v>
      </c>
      <c r="O35" s="240" t="s">
        <v>78</v>
      </c>
      <c r="P35" s="258"/>
      <c r="Q35" s="49"/>
      <c r="R35" s="49"/>
      <c r="S35" s="49"/>
      <c r="T35" s="440" t="str">
        <f t="shared" si="0"/>
        <v>Poultry</v>
      </c>
      <c r="U35" s="440"/>
      <c r="V35" s="440"/>
      <c r="W35" s="440"/>
      <c r="X35" s="440"/>
      <c r="Y35" s="238" t="s">
        <v>61</v>
      </c>
      <c r="Z35" s="49"/>
      <c r="AA35" s="285"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285"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13"/>
      <c r="AF35" s="94"/>
      <c r="AG35" s="94"/>
      <c r="AH35" s="94"/>
      <c r="AI35" s="94"/>
      <c r="AJ35" s="94"/>
      <c r="AK35" s="94"/>
      <c r="AL35" s="94"/>
      <c r="AM35" s="94"/>
      <c r="AN35" s="94"/>
      <c r="AO35" s="94"/>
      <c r="AP35" s="94"/>
      <c r="AQ35" s="94"/>
      <c r="AR35" s="94"/>
      <c r="AT35" s="94"/>
      <c r="AU35" s="94"/>
      <c r="AV35" s="94"/>
      <c r="AW35" s="94"/>
      <c r="AX35" s="94"/>
      <c r="AY35" s="94"/>
      <c r="AZ35" s="94"/>
      <c r="BA35" s="94"/>
    </row>
    <row r="36" spans="2:53" ht="16.05" customHeight="1" x14ac:dyDescent="0.3">
      <c r="B36" s="46"/>
      <c r="C36" s="42"/>
      <c r="D36" s="227"/>
      <c r="E36" s="440" t="str">
        <f>'Stage 2'!F31</f>
        <v>Pigs</v>
      </c>
      <c r="F36" s="440"/>
      <c r="G36" s="440"/>
      <c r="H36" s="440"/>
      <c r="I36" s="440"/>
      <c r="J36" s="49"/>
      <c r="K36" s="315" t="str">
        <f>IF('Stage 2'!$K31&gt;0,'Stage 2'!O31/'Stage 2'!$K31,"")</f>
        <v/>
      </c>
      <c r="L36" s="230"/>
      <c r="M36" s="273" t="str">
        <f>IF('Stage 2'!$K31&gt;0,'Stage 2'!Q31/'Stage 2'!$K31,"")</f>
        <v/>
      </c>
      <c r="N36" s="238" t="s">
        <v>61</v>
      </c>
      <c r="O36" s="240" t="s">
        <v>78</v>
      </c>
      <c r="P36" s="258"/>
      <c r="Q36" s="49"/>
      <c r="R36" s="49"/>
      <c r="S36" s="49"/>
      <c r="T36" s="440" t="str">
        <f t="shared" si="0"/>
        <v>Pigs</v>
      </c>
      <c r="U36" s="440"/>
      <c r="V36" s="440"/>
      <c r="W36" s="440"/>
      <c r="X36" s="440"/>
      <c r="Y36" s="238" t="s">
        <v>61</v>
      </c>
      <c r="Z36" s="49"/>
      <c r="AA36" s="285"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285"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13"/>
      <c r="AF36" s="94"/>
      <c r="AG36" s="94"/>
      <c r="AH36" s="94"/>
      <c r="AI36" s="94"/>
      <c r="AJ36" s="94"/>
      <c r="AK36" s="94"/>
      <c r="AL36" s="94"/>
      <c r="AM36" s="94"/>
      <c r="AN36" s="94"/>
      <c r="AO36" s="94"/>
      <c r="AP36" s="94"/>
      <c r="AQ36" s="94"/>
      <c r="AR36" s="94"/>
      <c r="AT36" s="94"/>
      <c r="AU36" s="94"/>
      <c r="AV36" s="94"/>
      <c r="AW36" s="94"/>
      <c r="AX36" s="94"/>
      <c r="AY36" s="94"/>
      <c r="AZ36" s="94"/>
      <c r="BA36" s="94"/>
    </row>
    <row r="37" spans="2:53" ht="16.05" customHeight="1" x14ac:dyDescent="0.3">
      <c r="B37" s="46"/>
      <c r="C37" s="42"/>
      <c r="D37" s="227"/>
      <c r="E37" s="440" t="str">
        <f>'Stage 2'!F32</f>
        <v>Horticulture</v>
      </c>
      <c r="F37" s="440"/>
      <c r="G37" s="440"/>
      <c r="H37" s="440"/>
      <c r="I37" s="440"/>
      <c r="J37" s="49"/>
      <c r="K37" s="315" t="str">
        <f>IF('Stage 2'!$K32&gt;0,'Stage 2'!O32/'Stage 2'!$K32,"")</f>
        <v/>
      </c>
      <c r="L37" s="230"/>
      <c r="M37" s="273" t="str">
        <f>IF('Stage 2'!$K32&gt;0,'Stage 2'!Q32/'Stage 2'!$K32,"")</f>
        <v/>
      </c>
      <c r="N37" s="238" t="s">
        <v>61</v>
      </c>
      <c r="O37" s="240" t="s">
        <v>78</v>
      </c>
      <c r="P37" s="258"/>
      <c r="Q37" s="49"/>
      <c r="R37" s="49"/>
      <c r="S37" s="49"/>
      <c r="T37" s="440" t="str">
        <f t="shared" si="0"/>
        <v>Horticulture</v>
      </c>
      <c r="U37" s="440"/>
      <c r="V37" s="440"/>
      <c r="W37" s="440"/>
      <c r="X37" s="440"/>
      <c r="Y37" s="238" t="s">
        <v>61</v>
      </c>
      <c r="Z37" s="49"/>
      <c r="AA37" s="285"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285"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13"/>
      <c r="AF37" s="94"/>
      <c r="AG37" s="94"/>
      <c r="AH37" s="94"/>
      <c r="AI37" s="94"/>
      <c r="AJ37" s="94"/>
      <c r="AK37" s="94"/>
      <c r="AL37" s="94"/>
      <c r="AM37" s="94"/>
      <c r="AN37" s="94"/>
      <c r="AO37" s="94"/>
      <c r="AP37" s="94"/>
      <c r="AQ37" s="94"/>
      <c r="AR37" s="94"/>
      <c r="AT37" s="94"/>
      <c r="AU37" s="94"/>
      <c r="AV37" s="94"/>
      <c r="AW37" s="94"/>
      <c r="AX37" s="94"/>
      <c r="AY37" s="94"/>
      <c r="AZ37" s="94"/>
      <c r="BA37" s="94"/>
    </row>
    <row r="38" spans="2:53" ht="16.05" customHeight="1" x14ac:dyDescent="0.3">
      <c r="B38" s="46"/>
      <c r="C38" s="42"/>
      <c r="D38" s="227"/>
      <c r="E38" s="440" t="str">
        <f>'Stage 2'!F33</f>
        <v>Cereals</v>
      </c>
      <c r="F38" s="440"/>
      <c r="G38" s="440"/>
      <c r="H38" s="440"/>
      <c r="I38" s="440"/>
      <c r="J38" s="49"/>
      <c r="K38" s="315" t="str">
        <f>IF('Stage 2'!$K33&gt;0,'Stage 2'!O33/'Stage 2'!$K33,"")</f>
        <v/>
      </c>
      <c r="L38" s="230"/>
      <c r="M38" s="273" t="str">
        <f>IF('Stage 2'!$K33&gt;0,'Stage 2'!Q33/'Stage 2'!$K33,"")</f>
        <v/>
      </c>
      <c r="N38" s="238" t="s">
        <v>61</v>
      </c>
      <c r="O38" s="240" t="s">
        <v>78</v>
      </c>
      <c r="P38" s="258"/>
      <c r="Q38" s="49"/>
      <c r="R38" s="49"/>
      <c r="S38" s="49"/>
      <c r="T38" s="440" t="str">
        <f t="shared" si="0"/>
        <v>Cereals</v>
      </c>
      <c r="U38" s="440"/>
      <c r="V38" s="440"/>
      <c r="W38" s="440"/>
      <c r="X38" s="440"/>
      <c r="Y38" s="238" t="s">
        <v>61</v>
      </c>
      <c r="Z38" s="49"/>
      <c r="AA38" s="285"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285"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13"/>
      <c r="AF38" s="94"/>
      <c r="AG38" s="94"/>
      <c r="AH38" s="94"/>
      <c r="AI38" s="94"/>
      <c r="AJ38" s="94"/>
      <c r="AK38" s="94"/>
      <c r="AL38" s="94"/>
      <c r="AM38" s="94"/>
      <c r="AN38" s="94"/>
      <c r="AO38" s="94"/>
      <c r="AP38" s="94"/>
      <c r="AQ38" s="94"/>
      <c r="AR38" s="94"/>
      <c r="AT38" s="94"/>
      <c r="AU38" s="94"/>
      <c r="AV38" s="94"/>
      <c r="AW38" s="94"/>
      <c r="AX38" s="94"/>
      <c r="AY38" s="94"/>
      <c r="AZ38" s="94"/>
      <c r="BA38" s="94"/>
    </row>
    <row r="39" spans="2:53" ht="16.05" customHeight="1" x14ac:dyDescent="0.3">
      <c r="B39" s="46"/>
      <c r="C39" s="42"/>
      <c r="D39" s="227"/>
      <c r="E39" s="440" t="str">
        <f>'Stage 2'!F34</f>
        <v>General arable</v>
      </c>
      <c r="F39" s="440"/>
      <c r="G39" s="440"/>
      <c r="H39" s="440"/>
      <c r="I39" s="440"/>
      <c r="J39" s="49"/>
      <c r="K39" s="315" t="str">
        <f>IF('Stage 2'!$K34&gt;0,'Stage 2'!O34/'Stage 2'!$K34,"")</f>
        <v/>
      </c>
      <c r="L39" s="230"/>
      <c r="M39" s="273" t="str">
        <f>IF('Stage 2'!$K34&gt;0,'Stage 2'!Q34/'Stage 2'!$K34,"")</f>
        <v/>
      </c>
      <c r="N39" s="238" t="s">
        <v>61</v>
      </c>
      <c r="O39" s="240" t="s">
        <v>78</v>
      </c>
      <c r="P39" s="258"/>
      <c r="Q39" s="49"/>
      <c r="R39" s="49"/>
      <c r="S39" s="49"/>
      <c r="T39" s="440" t="str">
        <f t="shared" si="0"/>
        <v>General arable</v>
      </c>
      <c r="U39" s="440"/>
      <c r="V39" s="440"/>
      <c r="W39" s="440"/>
      <c r="X39" s="440"/>
      <c r="Y39" s="238" t="s">
        <v>61</v>
      </c>
      <c r="Z39" s="49"/>
      <c r="AA39" s="285"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285"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13"/>
      <c r="AF39" s="94"/>
      <c r="AG39" s="94"/>
      <c r="AH39" s="94"/>
      <c r="AI39" s="94"/>
      <c r="AJ39" s="94"/>
      <c r="AK39" s="94"/>
      <c r="AL39" s="94"/>
      <c r="AM39" s="94"/>
      <c r="AN39" s="94"/>
      <c r="AO39" s="94"/>
      <c r="AP39" s="94"/>
      <c r="AQ39" s="94"/>
      <c r="AR39" s="94"/>
      <c r="AT39" s="94"/>
      <c r="AU39" s="94"/>
      <c r="AV39" s="94"/>
      <c r="AW39" s="94"/>
      <c r="AX39" s="94"/>
      <c r="AY39" s="94"/>
      <c r="AZ39" s="94"/>
      <c r="BA39" s="94"/>
    </row>
    <row r="40" spans="2:53" ht="16.05" customHeight="1" x14ac:dyDescent="0.3">
      <c r="B40" s="46"/>
      <c r="C40" s="42"/>
      <c r="D40" s="227"/>
      <c r="E40" s="440" t="str">
        <f>'Stage 2'!F35</f>
        <v>Allotments and city farms</v>
      </c>
      <c r="F40" s="440"/>
      <c r="G40" s="440"/>
      <c r="H40" s="440"/>
      <c r="I40" s="440"/>
      <c r="J40" s="49"/>
      <c r="K40" s="290" t="str">
        <f>IF('Stage 2'!K35&gt;0,'Data Tables'!O3,"")</f>
        <v/>
      </c>
      <c r="L40" s="269"/>
      <c r="M40" s="273"/>
      <c r="N40" s="238" t="s">
        <v>61</v>
      </c>
      <c r="O40" s="240" t="s">
        <v>78</v>
      </c>
      <c r="P40" s="258"/>
      <c r="Q40" s="49"/>
      <c r="R40" s="49"/>
      <c r="S40" s="49"/>
      <c r="T40" s="440" t="str">
        <f t="shared" si="0"/>
        <v>Allotments and city farms</v>
      </c>
      <c r="U40" s="440"/>
      <c r="V40" s="440"/>
      <c r="W40" s="440"/>
      <c r="X40" s="440"/>
      <c r="Y40" s="238" t="s">
        <v>61</v>
      </c>
      <c r="Z40" s="49"/>
      <c r="AA40" s="285"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285"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13"/>
    </row>
    <row r="41" spans="2:53" ht="16.05" customHeight="1" x14ac:dyDescent="0.3">
      <c r="B41" s="46"/>
      <c r="C41" s="42"/>
      <c r="D41" s="227"/>
      <c r="E41" s="440" t="str">
        <f>'Stage 2'!F36</f>
        <v>Woodland (e.g. conifer, mixed, broad-leaved)</v>
      </c>
      <c r="F41" s="440"/>
      <c r="G41" s="440"/>
      <c r="H41" s="440"/>
      <c r="I41" s="440"/>
      <c r="J41" s="49"/>
      <c r="K41" s="290" t="str">
        <f>IF('Stage 2'!K36&gt;0,'Data Tables'!O5,"")</f>
        <v/>
      </c>
      <c r="L41" s="269"/>
      <c r="M41" s="273"/>
      <c r="N41" s="238" t="s">
        <v>61</v>
      </c>
      <c r="O41" s="240" t="s">
        <v>78</v>
      </c>
      <c r="P41" s="258"/>
      <c r="Q41" s="49"/>
      <c r="R41" s="49"/>
      <c r="S41" s="49"/>
      <c r="T41" s="440" t="str">
        <f t="shared" si="0"/>
        <v>Woodland (e.g. conifer, mixed, broad-leaved)</v>
      </c>
      <c r="U41" s="440"/>
      <c r="V41" s="440"/>
      <c r="W41" s="440"/>
      <c r="X41" s="440"/>
      <c r="Y41" s="238" t="s">
        <v>61</v>
      </c>
      <c r="Z41" s="49"/>
      <c r="AA41" s="285" t="str">
        <f>IF($Y$16="Yes",(IF(Y41="Yes",'Data Tables'!O5,0)),"")</f>
        <v/>
      </c>
      <c r="AB41" s="285" t="str">
        <f>IF($Y$16="Yes",(IF(Z41="Yes",'Data Tables'!P5,0)),"")</f>
        <v/>
      </c>
      <c r="AC41" s="313"/>
    </row>
    <row r="42" spans="2:53" ht="16.05" customHeight="1" x14ac:dyDescent="0.3">
      <c r="B42" s="46"/>
      <c r="C42" s="42"/>
      <c r="D42" s="227"/>
      <c r="E42" s="440" t="str">
        <f>'Stage 2'!F37</f>
        <v>Greenspace</v>
      </c>
      <c r="F42" s="440"/>
      <c r="G42" s="440"/>
      <c r="H42" s="440"/>
      <c r="I42" s="440"/>
      <c r="J42" s="49"/>
      <c r="K42" s="290" t="str">
        <f>IF('Stage 2'!K37&gt;0,'Data Tables'!O4,"")</f>
        <v/>
      </c>
      <c r="L42" s="269"/>
      <c r="M42" s="273"/>
      <c r="N42" s="238" t="s">
        <v>61</v>
      </c>
      <c r="O42" s="240" t="s">
        <v>78</v>
      </c>
      <c r="P42" s="258"/>
      <c r="Q42" s="49"/>
      <c r="R42" s="49"/>
      <c r="S42" s="49"/>
      <c r="T42" s="440" t="str">
        <f t="shared" si="0"/>
        <v>Greenspace</v>
      </c>
      <c r="U42" s="440"/>
      <c r="V42" s="440"/>
      <c r="W42" s="440"/>
      <c r="X42" s="440"/>
      <c r="Y42" s="238" t="s">
        <v>61</v>
      </c>
      <c r="Z42" s="49"/>
      <c r="AA42" s="285" t="str">
        <f>IF($Y$16="Yes",(IF(Y42="Yes",'Data Tables'!O4,0)),"")</f>
        <v/>
      </c>
      <c r="AB42" s="285" t="str">
        <f>IF($Y$16="Yes",(IF(Z42="Yes",'Data Tables'!P4,0)),"")</f>
        <v/>
      </c>
      <c r="AC42" s="313"/>
    </row>
    <row r="43" spans="2:53" ht="16.05" customHeight="1" x14ac:dyDescent="0.3">
      <c r="B43" s="46"/>
      <c r="C43" s="42"/>
      <c r="D43" s="227"/>
      <c r="E43" s="440" t="str">
        <f>'Stage 2'!F38</f>
        <v>Shrub / heathland / bracken / bog</v>
      </c>
      <c r="F43" s="440"/>
      <c r="G43" s="440"/>
      <c r="H43" s="440"/>
      <c r="I43" s="440"/>
      <c r="J43" s="49"/>
      <c r="K43" s="290" t="str">
        <f>IF('Stage 2'!K38&gt;0,'Data Tables'!O6,"")</f>
        <v/>
      </c>
      <c r="L43" s="269"/>
      <c r="M43" s="273"/>
      <c r="N43" s="238" t="s">
        <v>61</v>
      </c>
      <c r="O43" s="240" t="s">
        <v>78</v>
      </c>
      <c r="P43" s="258"/>
      <c r="Q43" s="49"/>
      <c r="R43" s="49"/>
      <c r="S43" s="49"/>
      <c r="T43" s="440" t="str">
        <f t="shared" si="0"/>
        <v>Shrub / heathland / bracken / bog</v>
      </c>
      <c r="U43" s="440"/>
      <c r="V43" s="440"/>
      <c r="W43" s="440"/>
      <c r="X43" s="440"/>
      <c r="Y43" s="238" t="s">
        <v>61</v>
      </c>
      <c r="Z43" s="49"/>
      <c r="AA43" s="285" t="str">
        <f>IF($Y$16="Yes",(IF(Y43="Yes",'Data Tables'!O6,0)),"")</f>
        <v/>
      </c>
      <c r="AB43" s="285" t="str">
        <f>IF($Y$16="Yes",(IF(Z43="Yes",'Data Tables'!P6,0)),"")</f>
        <v/>
      </c>
      <c r="AC43" s="313"/>
    </row>
    <row r="44" spans="2:53" ht="15" customHeight="1" x14ac:dyDescent="0.3">
      <c r="B44" s="46"/>
      <c r="C44" s="42"/>
      <c r="D44" s="227"/>
      <c r="E44" s="440" t="str">
        <f>'Stage 2'!F39</f>
        <v>Water</v>
      </c>
      <c r="F44" s="440"/>
      <c r="G44" s="440"/>
      <c r="H44" s="440"/>
      <c r="I44" s="440"/>
      <c r="J44" s="49"/>
      <c r="K44" s="290" t="str">
        <f>IF('Stage 2'!K39&gt;0,'Data Tables'!O7,"")</f>
        <v/>
      </c>
      <c r="L44" s="269"/>
      <c r="M44" s="273"/>
      <c r="N44" s="238" t="s">
        <v>61</v>
      </c>
      <c r="O44" s="240" t="s">
        <v>78</v>
      </c>
      <c r="P44" s="258"/>
      <c r="Q44" s="49"/>
      <c r="R44" s="49"/>
      <c r="S44" s="49"/>
      <c r="T44" s="440" t="str">
        <f t="shared" si="0"/>
        <v>Water</v>
      </c>
      <c r="U44" s="440"/>
      <c r="V44" s="440"/>
      <c r="W44" s="440"/>
      <c r="X44" s="440"/>
      <c r="Y44" s="238" t="s">
        <v>61</v>
      </c>
      <c r="Z44" s="49"/>
      <c r="AA44" s="285" t="str">
        <f>IF($Y$16="Yes",(IF(Y44="Yes",'Data Tables'!O7,0)),"")</f>
        <v/>
      </c>
      <c r="AB44" s="285" t="str">
        <f>IF($Y$16="Yes",(IF(Z44="Yes",'Data Tables'!P7,0)),"")</f>
        <v/>
      </c>
      <c r="AC44" s="313"/>
    </row>
    <row r="45" spans="2:53" ht="16.05" customHeight="1" x14ac:dyDescent="0.3">
      <c r="B45" s="46"/>
      <c r="C45" s="42"/>
      <c r="D45" s="227"/>
      <c r="E45" s="49"/>
      <c r="F45" s="38"/>
      <c r="G45" s="49"/>
      <c r="H45" s="49"/>
      <c r="I45" s="49"/>
      <c r="J45" s="49"/>
      <c r="K45" s="269"/>
      <c r="L45" s="269"/>
      <c r="M45" s="269"/>
      <c r="N45" s="49"/>
      <c r="O45" s="246"/>
      <c r="P45" s="258"/>
      <c r="Q45" s="49"/>
      <c r="R45" s="49"/>
      <c r="S45" s="49"/>
      <c r="T45" s="49"/>
      <c r="U45" s="49"/>
      <c r="V45" s="49"/>
      <c r="W45" s="49"/>
      <c r="X45" s="49"/>
      <c r="Y45" s="144" t="s">
        <v>429</v>
      </c>
      <c r="Z45" s="144" t="s">
        <v>430</v>
      </c>
      <c r="AA45" s="49"/>
      <c r="AB45" s="49"/>
      <c r="AC45" s="313"/>
    </row>
    <row r="46" spans="2:53" ht="17.55" customHeight="1" x14ac:dyDescent="0.3">
      <c r="B46" s="46"/>
      <c r="C46" s="42"/>
      <c r="D46" s="227"/>
      <c r="E46" s="453" t="s">
        <v>86</v>
      </c>
      <c r="F46" s="453"/>
      <c r="G46" s="453"/>
      <c r="H46" s="453"/>
      <c r="I46" s="453"/>
      <c r="J46" s="49"/>
      <c r="K46" s="273">
        <f>IF(K16="Yes",(IF(N22="Yes",K22,0)+IF(N27="Yes",K27,0)+IF(N28="Yes",K28,0)+IF(N29="Yes",K29,0)+IF(N30="Yes",K30,0)+IF(N31="Yes",K31,0)+IF(N32="Yes",K32,0)+IF(N33="Yes",K33,0)+IF(N34="Yes",K34,0)+IF(N35="Yes",K35,0)+IF(N36="Yes",K36,0)+IF(N37="Yes",K37,0)+IF(N38="Yes",K38,0)+IF(N39="Yes",K39,0)+IF(N40="Yes",K40,0)+IF(N41="Yes",K41,0)+IF(N42="Yes",K42,0)+IF(N43="Yes",K43,0)+IF(N44="Yes",K44,0))/COUNTIF(N22:N44,"Yes"),0)</f>
        <v>0</v>
      </c>
      <c r="L46" s="269"/>
      <c r="M46" s="273">
        <f>IF(K16="Yes",(IF(N22="Yes",M22,0)+IF(N27="Yes",M27,0)+IF(N28="Yes",M28,0)+IF(N29="Yes",M29,0)+IF(N30="Yes",M30,0)+IF(N31="Yes",M31,0)+IF(N32="Yes",M32,0)+IF(N33="Yes",M33,0)+IF(N34="Yes",M34,0)+IF(N35="Yes",M35,0)+IF(N36="Yes",M36,0)+IF(N37="Yes",M37,0)+IF(N38="Yes",M38,0)+IF(N39="Yes",M39,0)+IF(N40="Yes",M40,0)+IF(N41="Yes",M41,0)+IF(N42="Yes",M42,0)+IF(N43="Yes",M43,0)+IF(N44="Yes",M44,0))/COUNTIF(N22:N44,"Yes"),0)</f>
        <v>0</v>
      </c>
      <c r="N46" s="49"/>
      <c r="O46" s="246"/>
      <c r="P46" s="258"/>
      <c r="Q46" s="49"/>
      <c r="R46" s="49"/>
      <c r="S46" s="49"/>
      <c r="T46" s="453" t="s">
        <v>87</v>
      </c>
      <c r="U46" s="453"/>
      <c r="V46" s="453"/>
      <c r="W46" s="453"/>
      <c r="X46" s="453"/>
      <c r="Y46" s="293">
        <f>IF(Y16="Yes",SUM(AA27:AA44)/(COUNTIF(Y27:Y44,"Yes")),0)</f>
        <v>0</v>
      </c>
      <c r="Z46" s="293">
        <f>IF(Y16="Yes",SUM(AB27:AB44)/(COUNTIF(Y27:Y44,"Yes")),0)</f>
        <v>0</v>
      </c>
      <c r="AA46" s="226"/>
      <c r="AB46" s="226"/>
      <c r="AC46" s="313"/>
    </row>
    <row r="47" spans="2:53" ht="16.05" customHeight="1" x14ac:dyDescent="0.3">
      <c r="B47" s="46"/>
      <c r="C47" s="42"/>
      <c r="D47" s="227"/>
      <c r="E47" s="281"/>
      <c r="F47" s="281"/>
      <c r="G47" s="281"/>
      <c r="H47" s="281"/>
      <c r="I47" s="281"/>
      <c r="J47" s="49"/>
      <c r="K47" s="269"/>
      <c r="L47" s="269"/>
      <c r="M47" s="269"/>
      <c r="N47" s="49"/>
      <c r="O47" s="246"/>
      <c r="P47" s="49"/>
      <c r="Q47" s="49"/>
      <c r="R47" s="49"/>
      <c r="S47" s="49"/>
      <c r="T47" s="281"/>
      <c r="U47" s="281"/>
      <c r="V47" s="281"/>
      <c r="W47" s="281"/>
      <c r="X47" s="281"/>
      <c r="Y47" s="316"/>
      <c r="Z47" s="49"/>
      <c r="AA47" s="316"/>
      <c r="AB47" s="316"/>
      <c r="AC47" s="313"/>
    </row>
    <row r="48" spans="2:53" ht="16.05" customHeight="1" x14ac:dyDescent="0.3">
      <c r="B48" s="46"/>
      <c r="C48" s="42"/>
      <c r="D48" s="227"/>
      <c r="E48" s="49"/>
      <c r="F48" s="38"/>
      <c r="G48" s="49"/>
      <c r="H48" s="49"/>
      <c r="I48" s="49"/>
      <c r="J48" s="49"/>
      <c r="K48" s="269"/>
      <c r="L48" s="269"/>
      <c r="M48" s="269"/>
      <c r="N48" s="49"/>
      <c r="O48" s="246"/>
      <c r="P48" s="144" t="s">
        <v>429</v>
      </c>
      <c r="Q48" s="144"/>
      <c r="R48" s="144" t="s">
        <v>430</v>
      </c>
      <c r="S48" s="49"/>
      <c r="T48" s="49"/>
      <c r="U48" s="49"/>
      <c r="V48" s="49"/>
      <c r="W48" s="49"/>
      <c r="X48" s="49"/>
      <c r="Y48" s="49"/>
      <c r="Z48" s="49"/>
      <c r="AA48" s="49"/>
      <c r="AB48" s="49"/>
      <c r="AC48" s="313"/>
    </row>
    <row r="49" spans="2:29" ht="16.05" customHeight="1" x14ac:dyDescent="0.3">
      <c r="B49" s="46"/>
      <c r="C49" s="42"/>
      <c r="D49" s="227"/>
      <c r="E49" s="49"/>
      <c r="F49" s="38"/>
      <c r="G49" s="49"/>
      <c r="H49" s="49"/>
      <c r="I49" s="453" t="s">
        <v>89</v>
      </c>
      <c r="J49" s="453"/>
      <c r="K49" s="453"/>
      <c r="L49" s="453"/>
      <c r="M49" s="453"/>
      <c r="N49" s="453"/>
      <c r="O49" s="453"/>
      <c r="P49" s="273" t="str">
        <f>IF(K46+Y46&gt;0,K46+Y46,"")</f>
        <v/>
      </c>
      <c r="Q49" s="269"/>
      <c r="R49" s="273" t="str">
        <f>IF(M46+Z46&gt;0,M46+Z46,"")</f>
        <v/>
      </c>
      <c r="S49" s="316"/>
      <c r="T49" s="49"/>
      <c r="U49" s="49"/>
      <c r="V49" s="49"/>
      <c r="W49" s="49"/>
      <c r="X49" s="49"/>
      <c r="Y49" s="49"/>
      <c r="Z49" s="49"/>
      <c r="AA49" s="49"/>
      <c r="AB49" s="49"/>
      <c r="AC49" s="313"/>
    </row>
    <row r="50" spans="2:29" ht="16.05" customHeight="1" thickBot="1" x14ac:dyDescent="0.35">
      <c r="B50" s="46"/>
      <c r="C50" s="42"/>
      <c r="D50" s="317"/>
      <c r="E50" s="247"/>
      <c r="F50" s="247"/>
      <c r="G50" s="247"/>
      <c r="H50" s="247"/>
      <c r="I50" s="247"/>
      <c r="J50" s="247"/>
      <c r="K50" s="247"/>
      <c r="L50" s="247"/>
      <c r="M50" s="247"/>
      <c r="N50" s="247"/>
      <c r="O50" s="247"/>
      <c r="P50" s="247"/>
      <c r="Q50" s="247"/>
      <c r="R50" s="247"/>
      <c r="S50" s="49"/>
      <c r="T50" s="49"/>
      <c r="U50" s="49"/>
      <c r="V50" s="318"/>
      <c r="W50" s="318"/>
      <c r="X50" s="318"/>
      <c r="Y50" s="318"/>
      <c r="Z50" s="318"/>
      <c r="AA50" s="318"/>
      <c r="AB50" s="318"/>
      <c r="AC50" s="319"/>
    </row>
    <row r="51" spans="2:29" ht="11.55" customHeight="1" x14ac:dyDescent="0.3">
      <c r="B51" s="46"/>
      <c r="C51" s="42"/>
      <c r="D51" s="49"/>
      <c r="E51" s="49"/>
      <c r="F51" s="49"/>
      <c r="G51" s="49"/>
      <c r="H51" s="49"/>
      <c r="I51" s="49"/>
      <c r="J51" s="49"/>
      <c r="K51" s="49"/>
      <c r="L51" s="49"/>
      <c r="M51" s="49"/>
      <c r="N51" s="49"/>
      <c r="O51" s="49"/>
      <c r="P51" s="49"/>
      <c r="Q51" s="49"/>
      <c r="R51" s="49"/>
      <c r="S51" s="49"/>
      <c r="T51" s="49"/>
      <c r="U51" s="320"/>
      <c r="V51" s="66"/>
      <c r="W51" s="66"/>
      <c r="X51" s="66"/>
      <c r="Y51" s="66"/>
      <c r="Z51" s="66"/>
      <c r="AA51" s="66"/>
      <c r="AB51" s="66"/>
      <c r="AC51" s="66"/>
    </row>
    <row r="52" spans="2:29" ht="12.6" customHeight="1" x14ac:dyDescent="0.3">
      <c r="B52" s="46"/>
      <c r="C52" s="42"/>
      <c r="D52" s="49"/>
      <c r="E52" s="48" t="s">
        <v>12</v>
      </c>
      <c r="F52" s="375" t="s">
        <v>437</v>
      </c>
      <c r="G52" s="375"/>
      <c r="H52" s="375"/>
      <c r="I52" s="375"/>
      <c r="J52" s="375"/>
      <c r="K52" s="144" t="s">
        <v>2</v>
      </c>
      <c r="L52" s="144"/>
      <c r="M52" s="144" t="s">
        <v>2</v>
      </c>
      <c r="N52" s="144" t="s">
        <v>3</v>
      </c>
      <c r="O52" s="49"/>
      <c r="P52" s="49"/>
      <c r="Q52" s="49"/>
      <c r="R52" s="49"/>
      <c r="S52" s="49"/>
      <c r="T52" s="49"/>
      <c r="U52" s="320"/>
      <c r="V52" s="66"/>
      <c r="W52" s="66"/>
      <c r="X52" s="66"/>
      <c r="Y52" s="66"/>
      <c r="Z52" s="66"/>
      <c r="AA52" s="66"/>
      <c r="AB52" s="66"/>
      <c r="AC52" s="66"/>
    </row>
    <row r="53" spans="2:29" ht="13.05" customHeight="1" x14ac:dyDescent="0.3">
      <c r="B53" s="46"/>
      <c r="C53" s="42"/>
      <c r="D53" s="49"/>
      <c r="E53" s="49"/>
      <c r="F53" s="49"/>
      <c r="G53" s="49"/>
      <c r="H53" s="49"/>
      <c r="I53" s="49"/>
      <c r="J53" s="49"/>
      <c r="K53" s="144" t="s">
        <v>429</v>
      </c>
      <c r="L53" s="144"/>
      <c r="M53" s="144" t="s">
        <v>430</v>
      </c>
      <c r="N53" s="49"/>
      <c r="O53" s="49"/>
      <c r="P53" s="49"/>
      <c r="Q53" s="49"/>
      <c r="R53" s="49"/>
      <c r="S53" s="49"/>
      <c r="T53" s="49"/>
      <c r="U53" s="320"/>
      <c r="V53" s="66"/>
      <c r="W53" s="66"/>
      <c r="X53" s="66"/>
      <c r="Y53" s="66"/>
      <c r="Z53" s="66"/>
      <c r="AA53" s="66"/>
      <c r="AB53" s="66"/>
      <c r="AC53" s="66"/>
    </row>
    <row r="54" spans="2:29" ht="13.05" customHeight="1" x14ac:dyDescent="0.3">
      <c r="B54" s="46"/>
      <c r="C54" s="42"/>
      <c r="D54" s="49"/>
      <c r="E54" s="440" t="s">
        <v>32</v>
      </c>
      <c r="F54" s="440"/>
      <c r="G54" s="440"/>
      <c r="H54" s="440"/>
      <c r="I54" s="440"/>
      <c r="J54" s="49"/>
      <c r="K54" s="321" t="e">
        <f>(1/(((P49-(-IF(K62&gt;0,K62,8))))/$K$10))</f>
        <v>#VALUE!</v>
      </c>
      <c r="L54" s="322"/>
      <c r="M54" s="321" t="e">
        <f>(1/(((R49-(-IF(M62&gt;0,M62,930))))/$K$11))</f>
        <v>#VALUE!</v>
      </c>
      <c r="N54" s="240" t="s">
        <v>17</v>
      </c>
      <c r="O54" s="49"/>
      <c r="P54" s="49"/>
      <c r="Q54" s="49"/>
      <c r="R54" s="49"/>
      <c r="S54" s="49"/>
      <c r="T54" s="49"/>
      <c r="U54" s="320"/>
      <c r="V54" s="66"/>
      <c r="W54" s="66"/>
      <c r="X54" s="66"/>
      <c r="Y54" s="66"/>
      <c r="Z54" s="66"/>
      <c r="AA54" s="66"/>
      <c r="AB54" s="66"/>
      <c r="AC54" s="66"/>
    </row>
    <row r="55" spans="2:29" ht="14.55" customHeight="1" x14ac:dyDescent="0.3">
      <c r="B55" s="46"/>
      <c r="C55" s="42"/>
      <c r="D55" s="49"/>
      <c r="E55" s="440" t="s">
        <v>481</v>
      </c>
      <c r="F55" s="440"/>
      <c r="G55" s="440"/>
      <c r="H55" s="440"/>
      <c r="I55" s="440"/>
      <c r="J55" s="49"/>
      <c r="K55" s="321"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22"/>
      <c r="M55" s="321"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40" t="s">
        <v>17</v>
      </c>
      <c r="O55" s="49"/>
      <c r="P55" s="49"/>
      <c r="Q55" s="49"/>
      <c r="R55" s="49"/>
      <c r="S55" s="49"/>
      <c r="T55" s="49"/>
      <c r="U55" s="320"/>
      <c r="V55" s="66"/>
      <c r="W55" s="66"/>
      <c r="X55" s="66"/>
      <c r="Y55" s="66"/>
      <c r="Z55" s="66"/>
      <c r="AA55" s="66"/>
      <c r="AB55" s="66"/>
      <c r="AC55" s="66"/>
    </row>
    <row r="56" spans="2:29" ht="14.55" customHeight="1" x14ac:dyDescent="0.3">
      <c r="B56" s="46"/>
      <c r="C56" s="42"/>
      <c r="D56" s="49"/>
      <c r="E56" s="440" t="s">
        <v>393</v>
      </c>
      <c r="F56" s="440"/>
      <c r="G56" s="440"/>
      <c r="H56" s="440"/>
      <c r="I56" s="440"/>
      <c r="J56" s="144"/>
      <c r="K56" s="321" t="e">
        <f>(1/(($P$49-'Data Tables'!O7)/$K$10))</f>
        <v>#VALUE!</v>
      </c>
      <c r="L56" s="322"/>
      <c r="M56" s="321" t="e">
        <f>(1/(($R$49-'Data Tables'!P7)/$K$11))</f>
        <v>#VALUE!</v>
      </c>
      <c r="N56" s="240" t="s">
        <v>17</v>
      </c>
      <c r="O56" s="240"/>
      <c r="P56" s="264"/>
      <c r="Q56" s="264"/>
      <c r="R56" s="240"/>
      <c r="S56" s="240"/>
      <c r="T56" s="49"/>
      <c r="U56" s="320"/>
      <c r="V56" s="66"/>
      <c r="W56" s="66"/>
      <c r="X56" s="66"/>
      <c r="Y56" s="66"/>
      <c r="Z56" s="66"/>
      <c r="AA56" s="66"/>
      <c r="AB56" s="66"/>
      <c r="AC56" s="66"/>
    </row>
    <row r="57" spans="2:29" ht="14.55" customHeight="1" x14ac:dyDescent="0.3">
      <c r="B57" s="46"/>
      <c r="C57" s="42"/>
      <c r="D57" s="49"/>
      <c r="E57" s="440" t="s">
        <v>34</v>
      </c>
      <c r="F57" s="440"/>
      <c r="G57" s="440"/>
      <c r="H57" s="440"/>
      <c r="I57" s="440"/>
      <c r="J57" s="144"/>
      <c r="K57" s="321" t="e">
        <f>(1/(($P$49-'Data Tables'!O5)/$K$10))</f>
        <v>#VALUE!</v>
      </c>
      <c r="L57" s="322"/>
      <c r="M57" s="321" t="e">
        <f>(1/(($R$49-'Data Tables'!P5)/$K$11))</f>
        <v>#VALUE!</v>
      </c>
      <c r="N57" s="240" t="s">
        <v>17</v>
      </c>
      <c r="O57" s="240"/>
      <c r="P57" s="264"/>
      <c r="Q57" s="264"/>
      <c r="R57" s="240"/>
      <c r="S57" s="240"/>
      <c r="T57" s="49"/>
      <c r="U57" s="320"/>
      <c r="V57" s="66"/>
      <c r="W57" s="66"/>
      <c r="X57" s="66"/>
      <c r="Y57" s="66"/>
      <c r="Z57" s="66"/>
      <c r="AA57" s="66"/>
      <c r="AB57" s="66"/>
      <c r="AC57" s="66"/>
    </row>
    <row r="58" spans="2:29" ht="14.55" customHeight="1" x14ac:dyDescent="0.3">
      <c r="B58" s="46"/>
      <c r="C58" s="42"/>
      <c r="D58" s="49"/>
      <c r="E58" s="440" t="s">
        <v>241</v>
      </c>
      <c r="F58" s="440"/>
      <c r="G58" s="440"/>
      <c r="H58" s="440"/>
      <c r="I58" s="440"/>
      <c r="J58" s="144"/>
      <c r="K58" s="321" t="e">
        <f>(1/(($P$49-'Data Tables'!O6)/$K$10))</f>
        <v>#VALUE!</v>
      </c>
      <c r="L58" s="322"/>
      <c r="M58" s="321" t="e">
        <f>(1/(($R$49-'Data Tables'!P6)/$K$11))</f>
        <v>#VALUE!</v>
      </c>
      <c r="N58" s="240" t="s">
        <v>17</v>
      </c>
      <c r="O58" s="240"/>
      <c r="P58" s="264"/>
      <c r="Q58" s="264"/>
      <c r="R58" s="240"/>
      <c r="S58" s="240"/>
      <c r="T58" s="49"/>
      <c r="U58" s="320"/>
      <c r="V58" s="66"/>
      <c r="W58" s="66"/>
      <c r="X58" s="66"/>
      <c r="Y58" s="66"/>
      <c r="Z58" s="66"/>
      <c r="AA58" s="66"/>
      <c r="AB58" s="66"/>
      <c r="AC58" s="66"/>
    </row>
    <row r="59" spans="2:29" ht="14.55" customHeight="1" x14ac:dyDescent="0.3">
      <c r="B59" s="46"/>
      <c r="C59" s="42"/>
      <c r="D59" s="49"/>
      <c r="E59" s="440" t="s">
        <v>432</v>
      </c>
      <c r="F59" s="440"/>
      <c r="G59" s="440"/>
      <c r="H59" s="440"/>
      <c r="I59" s="440"/>
      <c r="J59" s="144"/>
      <c r="K59" s="321" t="e">
        <f>(1/(($P$49-'Data Tables'!O4)/$K$10))</f>
        <v>#VALUE!</v>
      </c>
      <c r="L59" s="322"/>
      <c r="M59" s="321" t="e">
        <f>(1/(($R$49-'Data Tables'!P4)/$K$11))</f>
        <v>#VALUE!</v>
      </c>
      <c r="N59" s="240" t="s">
        <v>17</v>
      </c>
      <c r="O59" s="240"/>
      <c r="P59" s="264"/>
      <c r="Q59" s="264"/>
      <c r="R59" s="240"/>
      <c r="S59" s="240"/>
      <c r="T59" s="49"/>
      <c r="U59" s="320"/>
      <c r="V59" s="66"/>
      <c r="W59" s="66"/>
      <c r="X59" s="66"/>
      <c r="Y59" s="66"/>
      <c r="Z59" s="66"/>
      <c r="AA59" s="66"/>
      <c r="AB59" s="66"/>
      <c r="AC59" s="66"/>
    </row>
    <row r="60" spans="2:29" ht="7.5" customHeight="1" x14ac:dyDescent="0.3">
      <c r="B60" s="46"/>
      <c r="C60" s="42"/>
      <c r="D60" s="49"/>
      <c r="E60" s="49"/>
      <c r="F60" s="49"/>
      <c r="G60" s="49"/>
      <c r="H60" s="49"/>
      <c r="I60" s="49"/>
      <c r="J60" s="49"/>
      <c r="K60" s="49"/>
      <c r="L60" s="49"/>
      <c r="M60" s="49"/>
      <c r="N60" s="49"/>
      <c r="O60" s="49"/>
      <c r="P60" s="49"/>
      <c r="Q60" s="49"/>
      <c r="R60" s="49"/>
      <c r="S60" s="49"/>
      <c r="T60" s="49"/>
      <c r="U60" s="320"/>
      <c r="V60" s="66"/>
      <c r="W60" s="66"/>
      <c r="X60" s="66"/>
      <c r="Y60" s="66"/>
      <c r="Z60" s="66"/>
      <c r="AA60" s="66"/>
      <c r="AB60" s="66"/>
      <c r="AC60" s="66"/>
    </row>
    <row r="61" spans="2:29" ht="16.05" customHeight="1" x14ac:dyDescent="0.3">
      <c r="B61" s="46"/>
      <c r="C61" s="42"/>
      <c r="D61" s="49"/>
      <c r="E61" s="49"/>
      <c r="F61" s="375" t="s">
        <v>244</v>
      </c>
      <c r="G61" s="375"/>
      <c r="H61" s="375"/>
      <c r="I61" s="375"/>
      <c r="J61" s="375"/>
      <c r="K61" s="226"/>
      <c r="L61" s="226"/>
      <c r="M61" s="226"/>
      <c r="N61" s="49"/>
      <c r="O61" s="49"/>
      <c r="P61" s="49"/>
      <c r="Q61" s="49"/>
      <c r="R61" s="49"/>
      <c r="S61" s="49"/>
      <c r="T61" s="49"/>
      <c r="U61" s="320"/>
      <c r="V61" s="66"/>
      <c r="W61" s="66"/>
      <c r="X61" s="66"/>
      <c r="Y61" s="66"/>
      <c r="Z61" s="66"/>
      <c r="AA61" s="66"/>
      <c r="AB61" s="66"/>
      <c r="AC61" s="66"/>
    </row>
    <row r="62" spans="2:29" ht="18" customHeight="1" x14ac:dyDescent="0.3">
      <c r="B62" s="46"/>
      <c r="C62" s="42"/>
      <c r="D62" s="49"/>
      <c r="E62" s="49"/>
      <c r="F62" s="49"/>
      <c r="G62" s="375" t="s">
        <v>232</v>
      </c>
      <c r="H62" s="375"/>
      <c r="I62" s="375"/>
      <c r="J62" s="375"/>
      <c r="K62" s="238"/>
      <c r="L62" s="239"/>
      <c r="M62" s="238"/>
      <c r="N62" s="240" t="s">
        <v>78</v>
      </c>
      <c r="O62" s="227"/>
      <c r="P62" s="49"/>
      <c r="Q62" s="49"/>
      <c r="R62" s="49"/>
      <c r="S62" s="49"/>
      <c r="T62" s="49"/>
      <c r="U62" s="320"/>
      <c r="V62" s="66"/>
      <c r="W62" s="66"/>
      <c r="X62" s="66"/>
      <c r="Y62" s="66"/>
      <c r="Z62" s="66"/>
      <c r="AA62" s="66"/>
      <c r="AB62" s="66"/>
      <c r="AC62" s="66"/>
    </row>
    <row r="63" spans="2:29" ht="60" customHeight="1" x14ac:dyDescent="0.3">
      <c r="B63" s="46"/>
      <c r="C63" s="42"/>
      <c r="D63" s="49"/>
      <c r="E63" s="436" t="s">
        <v>431</v>
      </c>
      <c r="F63" s="436"/>
      <c r="G63" s="436"/>
      <c r="H63" s="436"/>
      <c r="I63" s="436"/>
      <c r="J63" s="436"/>
      <c r="K63" s="436"/>
      <c r="L63" s="436"/>
      <c r="M63" s="436"/>
      <c r="N63" s="436"/>
      <c r="O63" s="436"/>
      <c r="P63" s="436"/>
      <c r="Q63" s="436"/>
      <c r="R63" s="436"/>
      <c r="S63" s="436"/>
      <c r="T63" s="436"/>
      <c r="U63" s="320"/>
      <c r="V63" s="66"/>
      <c r="W63" s="66"/>
      <c r="X63" s="66"/>
      <c r="Y63" s="66"/>
      <c r="Z63" s="66"/>
      <c r="AA63" s="66"/>
      <c r="AB63" s="66"/>
      <c r="AC63" s="66"/>
    </row>
    <row r="64" spans="2:29" ht="14.55" customHeight="1" x14ac:dyDescent="0.3">
      <c r="B64" s="46"/>
      <c r="C64" s="42"/>
      <c r="D64" s="49"/>
      <c r="E64" s="49"/>
      <c r="F64" s="49"/>
      <c r="G64" s="49"/>
      <c r="H64" s="49"/>
      <c r="I64" s="49"/>
      <c r="J64" s="49"/>
      <c r="K64" s="226"/>
      <c r="L64" s="226"/>
      <c r="M64" s="226"/>
      <c r="N64" s="49"/>
      <c r="O64" s="49"/>
      <c r="P64" s="226"/>
      <c r="Q64" s="226"/>
      <c r="R64" s="226"/>
      <c r="S64" s="49"/>
      <c r="T64" s="49"/>
      <c r="U64" s="320"/>
      <c r="V64" s="66"/>
      <c r="W64" s="66"/>
      <c r="X64" s="66"/>
      <c r="Y64" s="66"/>
      <c r="Z64" s="66"/>
      <c r="AA64" s="66"/>
      <c r="AB64" s="66"/>
      <c r="AC64" s="66"/>
    </row>
    <row r="65" spans="2:29" ht="10.050000000000001" customHeight="1" x14ac:dyDescent="0.3">
      <c r="B65" s="46"/>
      <c r="C65" s="42"/>
      <c r="D65" s="49"/>
      <c r="E65" s="48" t="s">
        <v>14</v>
      </c>
      <c r="F65" s="49" t="s">
        <v>31</v>
      </c>
      <c r="G65" s="49"/>
      <c r="H65" s="49"/>
      <c r="I65" s="49"/>
      <c r="J65" s="49"/>
      <c r="K65" s="144" t="s">
        <v>2</v>
      </c>
      <c r="L65" s="144"/>
      <c r="M65" s="144" t="s">
        <v>2</v>
      </c>
      <c r="N65" s="144" t="s">
        <v>3</v>
      </c>
      <c r="O65" s="144"/>
      <c r="P65" s="144" t="s">
        <v>2</v>
      </c>
      <c r="Q65" s="144"/>
      <c r="R65" s="144" t="s">
        <v>3</v>
      </c>
      <c r="S65" s="144"/>
      <c r="T65" s="49"/>
      <c r="U65" s="320"/>
      <c r="V65" s="66"/>
      <c r="W65" s="66"/>
      <c r="X65" s="66"/>
      <c r="Y65" s="66"/>
      <c r="Z65" s="66"/>
      <c r="AA65" s="66"/>
      <c r="AB65" s="66"/>
      <c r="AC65" s="66"/>
    </row>
    <row r="66" spans="2:29" ht="13.5" customHeight="1" x14ac:dyDescent="0.3">
      <c r="B66" s="46"/>
      <c r="C66" s="42"/>
      <c r="D66" s="49"/>
      <c r="E66" s="48"/>
      <c r="F66" s="49"/>
      <c r="G66" s="49"/>
      <c r="H66" s="49"/>
      <c r="I66" s="49"/>
      <c r="J66" s="49"/>
      <c r="K66" s="144" t="s">
        <v>429</v>
      </c>
      <c r="L66" s="144"/>
      <c r="M66" s="144" t="s">
        <v>430</v>
      </c>
      <c r="N66" s="49"/>
      <c r="O66" s="49"/>
      <c r="P66" s="144" t="s">
        <v>429</v>
      </c>
      <c r="Q66" s="144"/>
      <c r="R66" s="144" t="s">
        <v>430</v>
      </c>
      <c r="S66" s="144"/>
      <c r="T66" s="49"/>
      <c r="U66" s="320"/>
      <c r="V66" s="66"/>
      <c r="W66" s="323"/>
      <c r="X66" s="66"/>
      <c r="Y66" s="66"/>
      <c r="Z66" s="66"/>
      <c r="AA66" s="66"/>
      <c r="AB66" s="66"/>
      <c r="AC66" s="66"/>
    </row>
    <row r="67" spans="2:29" ht="19.05" customHeight="1" x14ac:dyDescent="0.3">
      <c r="B67" s="46"/>
      <c r="C67" s="42"/>
      <c r="D67" s="49"/>
      <c r="E67" s="440" t="s">
        <v>32</v>
      </c>
      <c r="F67" s="440"/>
      <c r="G67" s="440"/>
      <c r="H67" s="440"/>
      <c r="I67" s="440"/>
      <c r="J67" s="144"/>
      <c r="K67" s="324"/>
      <c r="L67" s="277"/>
      <c r="M67" s="324"/>
      <c r="N67" s="240" t="s">
        <v>35</v>
      </c>
      <c r="O67" s="240"/>
      <c r="P67" s="321" t="str">
        <f>IF(K67&gt;0,(1/(($P$49-(-IF(K62&gt;0,K62,8)))/K67)),"0")</f>
        <v>0</v>
      </c>
      <c r="Q67" s="322"/>
      <c r="R67" s="321" t="str">
        <f>IF(M67&gt;0,(1/(($P$49-(-IF(M62&gt;0,M62,930)))/M67)),"0")</f>
        <v>0</v>
      </c>
      <c r="S67" s="240" t="s">
        <v>17</v>
      </c>
      <c r="T67" s="49"/>
      <c r="U67" s="320"/>
      <c r="V67" s="66"/>
      <c r="W67" s="323"/>
      <c r="X67" s="66"/>
      <c r="Y67" s="66"/>
      <c r="Z67" s="66"/>
      <c r="AA67" s="66"/>
      <c r="AB67" s="66"/>
      <c r="AC67" s="66"/>
    </row>
    <row r="68" spans="2:29" ht="22.5" customHeight="1" x14ac:dyDescent="0.3">
      <c r="B68" s="46"/>
      <c r="C68" s="42"/>
      <c r="D68" s="49"/>
      <c r="E68" s="440" t="s">
        <v>481</v>
      </c>
      <c r="F68" s="440"/>
      <c r="G68" s="440"/>
      <c r="H68" s="440"/>
      <c r="I68" s="440"/>
      <c r="J68" s="144"/>
      <c r="K68" s="324"/>
      <c r="L68" s="277"/>
      <c r="M68" s="324"/>
      <c r="N68" s="240" t="s">
        <v>35</v>
      </c>
      <c r="O68" s="240"/>
      <c r="P68" s="321"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22"/>
      <c r="R68" s="321"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40" t="s">
        <v>17</v>
      </c>
      <c r="T68" s="49"/>
      <c r="U68" s="320"/>
      <c r="V68" s="66"/>
      <c r="W68" s="66"/>
      <c r="X68" s="66"/>
      <c r="Y68" s="66"/>
      <c r="Z68" s="66"/>
      <c r="AA68" s="66"/>
      <c r="AB68" s="66"/>
      <c r="AC68" s="66"/>
    </row>
    <row r="69" spans="2:29" ht="13.5" customHeight="1" x14ac:dyDescent="0.3">
      <c r="B69" s="46"/>
      <c r="C69" s="42"/>
      <c r="D69" s="49"/>
      <c r="E69" s="440" t="s">
        <v>393</v>
      </c>
      <c r="F69" s="440"/>
      <c r="G69" s="440"/>
      <c r="H69" s="440"/>
      <c r="I69" s="440"/>
      <c r="J69" s="144"/>
      <c r="K69" s="324"/>
      <c r="L69" s="277"/>
      <c r="M69" s="324"/>
      <c r="N69" s="240" t="s">
        <v>35</v>
      </c>
      <c r="O69" s="240"/>
      <c r="P69" s="321" t="str">
        <f>IF(K69&gt;0,(1/(($P$49-'Data Tables'!O7)/K69)),"0")</f>
        <v>0</v>
      </c>
      <c r="Q69" s="322"/>
      <c r="R69" s="321" t="str">
        <f>IF(M69&gt;0,(1/(($R$49-'Data Tables'!P7)/M69)),"0")</f>
        <v>0</v>
      </c>
      <c r="S69" s="240" t="s">
        <v>17</v>
      </c>
      <c r="T69" s="49"/>
      <c r="U69" s="320"/>
      <c r="V69" s="66"/>
      <c r="W69" s="323"/>
      <c r="X69" s="66"/>
      <c r="Y69" s="66"/>
      <c r="Z69" s="66"/>
      <c r="AA69" s="66"/>
      <c r="AB69" s="66"/>
      <c r="AC69" s="66"/>
    </row>
    <row r="70" spans="2:29" ht="16.5" customHeight="1" x14ac:dyDescent="0.3">
      <c r="B70" s="46"/>
      <c r="C70" s="42"/>
      <c r="D70" s="49"/>
      <c r="E70" s="440" t="s">
        <v>34</v>
      </c>
      <c r="F70" s="440"/>
      <c r="G70" s="440"/>
      <c r="H70" s="440"/>
      <c r="I70" s="440"/>
      <c r="J70" s="144"/>
      <c r="K70" s="324"/>
      <c r="L70" s="277"/>
      <c r="M70" s="324"/>
      <c r="N70" s="240" t="s">
        <v>35</v>
      </c>
      <c r="O70" s="240"/>
      <c r="P70" s="321" t="str">
        <f>IF(K70&gt;0,(1/(($P$49-'Data Tables'!O5)/K70)),"0")</f>
        <v>0</v>
      </c>
      <c r="Q70" s="322"/>
      <c r="R70" s="321" t="str">
        <f>IF(M70&gt;0,(1/(($P$49-'Data Tables'!P5)/M70)),"0")</f>
        <v>0</v>
      </c>
      <c r="S70" s="240" t="s">
        <v>17</v>
      </c>
      <c r="T70" s="49"/>
      <c r="U70" s="320"/>
      <c r="V70" s="66"/>
      <c r="W70" s="66"/>
      <c r="X70" s="66"/>
      <c r="Y70" s="66"/>
      <c r="Z70" s="66"/>
      <c r="AA70" s="66"/>
      <c r="AB70" s="66"/>
      <c r="AC70" s="66"/>
    </row>
    <row r="71" spans="2:29" ht="16.5" customHeight="1" x14ac:dyDescent="0.3">
      <c r="B71" s="46"/>
      <c r="C71" s="42"/>
      <c r="D71" s="49"/>
      <c r="E71" s="440" t="s">
        <v>241</v>
      </c>
      <c r="F71" s="440"/>
      <c r="G71" s="440"/>
      <c r="H71" s="440"/>
      <c r="I71" s="440"/>
      <c r="J71" s="144"/>
      <c r="K71" s="324"/>
      <c r="L71" s="277"/>
      <c r="M71" s="324"/>
      <c r="N71" s="240" t="s">
        <v>35</v>
      </c>
      <c r="O71" s="240"/>
      <c r="P71" s="321" t="str">
        <f>IF(K71&gt;0,(1/(($P$49-'Data Tables'!O6)/K71)),"0")</f>
        <v>0</v>
      </c>
      <c r="Q71" s="322"/>
      <c r="R71" s="321" t="str">
        <f>IF(M71&gt;0,(1/(($R$49-'Data Tables'!P6)/M71)),"0")</f>
        <v>0</v>
      </c>
      <c r="S71" s="240" t="s">
        <v>17</v>
      </c>
      <c r="T71" s="49"/>
      <c r="U71" s="320"/>
      <c r="V71" s="66"/>
      <c r="W71" s="66"/>
      <c r="X71" s="66"/>
      <c r="Y71" s="66"/>
      <c r="Z71" s="66"/>
      <c r="AA71" s="66"/>
      <c r="AB71" s="66"/>
      <c r="AC71" s="66"/>
    </row>
    <row r="72" spans="2:29" ht="16.5" customHeight="1" x14ac:dyDescent="0.3">
      <c r="B72" s="46"/>
      <c r="C72" s="42"/>
      <c r="D72" s="49"/>
      <c r="E72" s="440" t="s">
        <v>432</v>
      </c>
      <c r="F72" s="440"/>
      <c r="G72" s="440"/>
      <c r="H72" s="440"/>
      <c r="I72" s="440"/>
      <c r="J72" s="144"/>
      <c r="K72" s="324"/>
      <c r="L72" s="277"/>
      <c r="M72" s="324"/>
      <c r="N72" s="240" t="s">
        <v>35</v>
      </c>
      <c r="O72" s="240"/>
      <c r="P72" s="321" t="str">
        <f>IF(K72&gt;0,(1/(($P$49-'Data Tables'!O4)/K72)),"0")</f>
        <v>0</v>
      </c>
      <c r="Q72" s="322"/>
      <c r="R72" s="321" t="str">
        <f>IF(M72&gt;0,(1/(($R$49-'Data Tables'!P4)/M72)),"0")</f>
        <v>0</v>
      </c>
      <c r="S72" s="240" t="s">
        <v>17</v>
      </c>
      <c r="T72" s="49"/>
      <c r="U72" s="320"/>
      <c r="V72" s="66"/>
      <c r="W72" s="66"/>
      <c r="X72" s="66"/>
      <c r="Y72" s="66"/>
      <c r="Z72" s="66"/>
      <c r="AA72" s="66"/>
      <c r="AB72" s="66"/>
      <c r="AC72" s="66"/>
    </row>
    <row r="73" spans="2:29" ht="22.05" customHeight="1" x14ac:dyDescent="0.3">
      <c r="B73" s="46"/>
      <c r="C73" s="42"/>
      <c r="D73" s="49"/>
      <c r="E73" s="49"/>
      <c r="F73" s="49"/>
      <c r="G73" s="49"/>
      <c r="H73" s="49"/>
      <c r="I73" s="49"/>
      <c r="J73" s="49"/>
      <c r="K73" s="49"/>
      <c r="L73" s="49"/>
      <c r="M73" s="49"/>
      <c r="N73" s="240"/>
      <c r="O73" s="240"/>
      <c r="P73" s="325"/>
      <c r="Q73" s="325"/>
      <c r="R73" s="240"/>
      <c r="S73" s="240"/>
      <c r="T73" s="49"/>
      <c r="U73" s="320"/>
      <c r="V73" s="66"/>
      <c r="W73" s="66"/>
      <c r="X73" s="66"/>
      <c r="Y73" s="66"/>
      <c r="Z73" s="66"/>
      <c r="AA73" s="66"/>
      <c r="AB73" s="66"/>
      <c r="AC73" s="66"/>
    </row>
    <row r="74" spans="2:29" ht="15.6" customHeight="1" x14ac:dyDescent="0.3">
      <c r="B74" s="46"/>
      <c r="C74" s="42"/>
      <c r="D74" s="49"/>
      <c r="E74" s="49"/>
      <c r="F74" s="390" t="s">
        <v>63</v>
      </c>
      <c r="G74" s="390"/>
      <c r="H74" s="390"/>
      <c r="I74" s="390"/>
      <c r="J74" s="49"/>
      <c r="K74" s="273">
        <f>K10-(SUM(K67:K72))</f>
        <v>0</v>
      </c>
      <c r="L74" s="269"/>
      <c r="M74" s="273">
        <f>K11-(SUM(M67:M72))</f>
        <v>0</v>
      </c>
      <c r="N74" s="246" t="s">
        <v>15</v>
      </c>
      <c r="O74" s="246"/>
      <c r="P74" s="290">
        <f>SUM(P67:P72)</f>
        <v>0</v>
      </c>
      <c r="Q74" s="326"/>
      <c r="R74" s="290">
        <f>SUM(R67:R72)</f>
        <v>0</v>
      </c>
      <c r="S74" s="246" t="s">
        <v>17</v>
      </c>
      <c r="T74" s="49"/>
      <c r="U74" s="320"/>
      <c r="V74" s="66"/>
      <c r="W74" s="66"/>
      <c r="X74" s="66"/>
      <c r="Y74" s="66"/>
      <c r="Z74" s="66"/>
      <c r="AA74" s="66"/>
      <c r="AB74" s="66"/>
      <c r="AC74" s="66"/>
    </row>
    <row r="75" spans="2:29" ht="18" customHeight="1" x14ac:dyDescent="0.3">
      <c r="B75" s="46"/>
      <c r="C75" s="42"/>
      <c r="D75" s="49"/>
      <c r="E75" s="49"/>
      <c r="F75" s="49"/>
      <c r="G75" s="49"/>
      <c r="H75" s="49"/>
      <c r="I75" s="49"/>
      <c r="J75" s="49"/>
      <c r="K75" s="49"/>
      <c r="L75" s="49"/>
      <c r="M75" s="49"/>
      <c r="N75" s="49"/>
      <c r="O75" s="49"/>
      <c r="P75" s="49"/>
      <c r="Q75" s="49"/>
      <c r="R75" s="49"/>
      <c r="S75" s="49"/>
      <c r="T75" s="49"/>
      <c r="U75" s="320"/>
      <c r="V75" s="66"/>
      <c r="W75" s="66"/>
      <c r="X75" s="66"/>
      <c r="Y75" s="66"/>
      <c r="Z75" s="66"/>
      <c r="AA75" s="66"/>
      <c r="AB75" s="66"/>
      <c r="AC75" s="66"/>
    </row>
    <row r="76" spans="2:29" ht="64.5" customHeight="1" x14ac:dyDescent="0.3">
      <c r="B76" s="46"/>
      <c r="C76" s="42"/>
      <c r="D76" s="49"/>
      <c r="E76" s="436" t="s">
        <v>435</v>
      </c>
      <c r="F76" s="436"/>
      <c r="G76" s="436"/>
      <c r="H76" s="436"/>
      <c r="I76" s="436"/>
      <c r="J76" s="436"/>
      <c r="K76" s="436"/>
      <c r="L76" s="436"/>
      <c r="M76" s="436"/>
      <c r="N76" s="436"/>
      <c r="O76" s="436"/>
      <c r="P76" s="436"/>
      <c r="Q76" s="436"/>
      <c r="R76" s="436"/>
      <c r="S76" s="436"/>
      <c r="T76" s="436"/>
      <c r="U76" s="320"/>
      <c r="V76" s="66"/>
      <c r="W76" s="66"/>
      <c r="X76" s="66"/>
      <c r="Y76" s="66"/>
      <c r="Z76" s="66"/>
      <c r="AA76" s="66"/>
      <c r="AB76" s="66"/>
      <c r="AC76" s="66"/>
    </row>
    <row r="77" spans="2:29" ht="15.6" x14ac:dyDescent="0.3">
      <c r="B77" s="46"/>
      <c r="C77" s="42"/>
      <c r="D77" s="49"/>
      <c r="E77" s="49"/>
      <c r="F77" s="49"/>
      <c r="G77" s="49"/>
      <c r="H77" s="49"/>
      <c r="I77" s="49"/>
      <c r="J77" s="49"/>
      <c r="K77" s="49"/>
      <c r="L77" s="49"/>
      <c r="M77" s="49"/>
      <c r="N77" s="49"/>
      <c r="O77" s="49"/>
      <c r="P77" s="49"/>
      <c r="Q77" s="49"/>
      <c r="R77" s="49"/>
      <c r="S77" s="49"/>
      <c r="T77" s="49"/>
      <c r="U77" s="320"/>
      <c r="V77" s="66"/>
      <c r="W77" s="66"/>
      <c r="X77" s="66"/>
      <c r="Y77" s="66"/>
      <c r="Z77" s="66"/>
      <c r="AA77" s="66"/>
      <c r="AB77" s="66"/>
      <c r="AC77" s="66"/>
    </row>
    <row r="78" spans="2:29" ht="15.6" x14ac:dyDescent="0.3">
      <c r="B78" s="46"/>
      <c r="C78" s="42"/>
      <c r="D78" s="49"/>
      <c r="E78" s="48" t="s">
        <v>27</v>
      </c>
      <c r="F78" s="49" t="s">
        <v>31</v>
      </c>
      <c r="G78" s="49"/>
      <c r="H78" s="49"/>
      <c r="I78" s="49"/>
      <c r="J78" s="49"/>
      <c r="K78" s="144" t="s">
        <v>2</v>
      </c>
      <c r="L78" s="144"/>
      <c r="M78" s="144" t="s">
        <v>2</v>
      </c>
      <c r="N78" s="144" t="s">
        <v>3</v>
      </c>
      <c r="O78" s="144"/>
      <c r="P78" s="144" t="s">
        <v>2</v>
      </c>
      <c r="Q78" s="144"/>
      <c r="R78" s="144" t="s">
        <v>3</v>
      </c>
      <c r="S78" s="144"/>
      <c r="T78" s="49"/>
      <c r="U78" s="320"/>
      <c r="V78" s="66"/>
      <c r="W78" s="66"/>
      <c r="X78" s="66"/>
      <c r="Y78" s="66"/>
      <c r="Z78" s="66"/>
      <c r="AA78" s="66"/>
      <c r="AB78" s="66"/>
      <c r="AC78" s="66"/>
    </row>
    <row r="79" spans="2:29" ht="15.6" x14ac:dyDescent="0.3">
      <c r="B79" s="46"/>
      <c r="C79" s="42"/>
      <c r="D79" s="49"/>
      <c r="E79" s="48"/>
      <c r="F79" s="49"/>
      <c r="G79" s="49"/>
      <c r="H79" s="49"/>
      <c r="I79" s="49"/>
      <c r="J79" s="49"/>
      <c r="K79" s="144" t="s">
        <v>429</v>
      </c>
      <c r="L79" s="144"/>
      <c r="M79" s="144" t="s">
        <v>430</v>
      </c>
      <c r="N79" s="49"/>
      <c r="O79" s="49"/>
      <c r="P79" s="144" t="s">
        <v>429</v>
      </c>
      <c r="Q79" s="144"/>
      <c r="R79" s="144" t="s">
        <v>430</v>
      </c>
      <c r="S79" s="144"/>
      <c r="T79" s="49"/>
      <c r="U79" s="320"/>
      <c r="V79" s="66"/>
      <c r="W79" s="66"/>
      <c r="X79" s="66"/>
      <c r="Y79" s="66"/>
      <c r="Z79" s="66"/>
      <c r="AA79" s="66"/>
      <c r="AB79" s="66"/>
      <c r="AC79" s="66"/>
    </row>
    <row r="80" spans="2:29" ht="15.6" x14ac:dyDescent="0.3">
      <c r="B80" s="46"/>
      <c r="C80" s="42"/>
      <c r="D80" s="49"/>
      <c r="E80" s="440" t="s">
        <v>32</v>
      </c>
      <c r="F80" s="440"/>
      <c r="G80" s="440"/>
      <c r="H80" s="440"/>
      <c r="I80" s="440"/>
      <c r="J80" s="144"/>
      <c r="K80" s="282"/>
      <c r="L80" s="327"/>
      <c r="M80" s="282"/>
      <c r="N80" s="240" t="s">
        <v>60</v>
      </c>
      <c r="O80" s="240"/>
      <c r="P80" s="268" t="e">
        <f>K80*($P$49-(-IF(K62&gt;0,K62,8)))</f>
        <v>#VALUE!</v>
      </c>
      <c r="Q80" s="264"/>
      <c r="R80" s="268" t="e">
        <f>M80*($R$49-(-IF(M62&gt;0,M62,930)))</f>
        <v>#VALUE!</v>
      </c>
      <c r="S80" s="240" t="s">
        <v>35</v>
      </c>
      <c r="T80" s="49"/>
      <c r="U80" s="320"/>
      <c r="V80" s="66"/>
      <c r="W80" s="66"/>
      <c r="X80" s="66"/>
      <c r="Y80" s="66"/>
      <c r="Z80" s="66"/>
      <c r="AA80" s="66"/>
      <c r="AB80" s="66"/>
      <c r="AC80" s="66"/>
    </row>
    <row r="81" spans="2:29" ht="15.6" x14ac:dyDescent="0.3">
      <c r="B81" s="46"/>
      <c r="C81" s="42"/>
      <c r="D81" s="49"/>
      <c r="E81" s="440" t="s">
        <v>481</v>
      </c>
      <c r="F81" s="440"/>
      <c r="G81" s="440"/>
      <c r="H81" s="440"/>
      <c r="I81" s="440"/>
      <c r="J81" s="144"/>
      <c r="K81" s="282"/>
      <c r="L81" s="327"/>
      <c r="M81" s="282"/>
      <c r="N81" s="240" t="s">
        <v>60</v>
      </c>
      <c r="O81" s="240"/>
      <c r="P81" s="268"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64"/>
      <c r="R81" s="268"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40" t="s">
        <v>35</v>
      </c>
      <c r="T81" s="49"/>
      <c r="U81" s="320"/>
      <c r="V81" s="66"/>
      <c r="W81" s="66"/>
      <c r="X81" s="66"/>
      <c r="Y81" s="66"/>
      <c r="Z81" s="66"/>
      <c r="AA81" s="66"/>
      <c r="AB81" s="66"/>
      <c r="AC81" s="66"/>
    </row>
    <row r="82" spans="2:29" ht="15.6" x14ac:dyDescent="0.3">
      <c r="B82" s="46"/>
      <c r="C82" s="42"/>
      <c r="D82" s="49"/>
      <c r="E82" s="440" t="s">
        <v>393</v>
      </c>
      <c r="F82" s="440"/>
      <c r="G82" s="440"/>
      <c r="H82" s="440"/>
      <c r="I82" s="440"/>
      <c r="J82" s="144"/>
      <c r="K82" s="282"/>
      <c r="L82" s="327"/>
      <c r="M82" s="282"/>
      <c r="N82" s="240" t="s">
        <v>60</v>
      </c>
      <c r="O82" s="240"/>
      <c r="P82" s="268" t="e">
        <f>K82*($P$49-'Data Tables'!O7)</f>
        <v>#VALUE!</v>
      </c>
      <c r="Q82" s="264"/>
      <c r="R82" s="268" t="e">
        <f>M82*($R$49-'Data Tables'!P7)</f>
        <v>#VALUE!</v>
      </c>
      <c r="S82" s="240" t="s">
        <v>35</v>
      </c>
      <c r="T82" s="49"/>
      <c r="U82" s="320"/>
      <c r="V82" s="66"/>
      <c r="W82" s="66"/>
      <c r="X82" s="66"/>
      <c r="Y82" s="66"/>
      <c r="Z82" s="66"/>
      <c r="AA82" s="66"/>
      <c r="AB82" s="66"/>
      <c r="AC82" s="66"/>
    </row>
    <row r="83" spans="2:29" ht="15.6" x14ac:dyDescent="0.3">
      <c r="B83" s="46"/>
      <c r="C83" s="42"/>
      <c r="D83" s="49"/>
      <c r="E83" s="440" t="s">
        <v>34</v>
      </c>
      <c r="F83" s="440"/>
      <c r="G83" s="440"/>
      <c r="H83" s="440"/>
      <c r="I83" s="440"/>
      <c r="J83" s="144"/>
      <c r="K83" s="282"/>
      <c r="L83" s="327"/>
      <c r="M83" s="282"/>
      <c r="N83" s="240" t="s">
        <v>60</v>
      </c>
      <c r="O83" s="240"/>
      <c r="P83" s="268" t="e">
        <f>K83*($P$49-'Data Tables'!O5)</f>
        <v>#VALUE!</v>
      </c>
      <c r="Q83" s="264"/>
      <c r="R83" s="268" t="e">
        <f>M83*($R$49-'Data Tables'!P5)</f>
        <v>#VALUE!</v>
      </c>
      <c r="S83" s="240" t="s">
        <v>35</v>
      </c>
      <c r="T83" s="49"/>
      <c r="U83" s="320"/>
      <c r="V83" s="66"/>
      <c r="W83" s="66"/>
      <c r="X83" s="66"/>
      <c r="Y83" s="66"/>
      <c r="Z83" s="66"/>
      <c r="AA83" s="66"/>
      <c r="AB83" s="66"/>
      <c r="AC83" s="66"/>
    </row>
    <row r="84" spans="2:29" ht="15.6" x14ac:dyDescent="0.3">
      <c r="B84" s="46"/>
      <c r="C84" s="42"/>
      <c r="D84" s="49"/>
      <c r="E84" s="440" t="s">
        <v>241</v>
      </c>
      <c r="F84" s="440"/>
      <c r="G84" s="440"/>
      <c r="H84" s="440"/>
      <c r="I84" s="440"/>
      <c r="J84" s="144"/>
      <c r="K84" s="282"/>
      <c r="L84" s="327"/>
      <c r="M84" s="282"/>
      <c r="N84" s="240" t="s">
        <v>60</v>
      </c>
      <c r="O84" s="240"/>
      <c r="P84" s="268" t="e">
        <f>K84*($P$49-'Data Tables'!O6)</f>
        <v>#VALUE!</v>
      </c>
      <c r="Q84" s="264"/>
      <c r="R84" s="268" t="e">
        <f>M84*($R$49-'Data Tables'!P6)</f>
        <v>#VALUE!</v>
      </c>
      <c r="S84" s="240" t="s">
        <v>35</v>
      </c>
      <c r="T84" s="49"/>
      <c r="U84" s="320"/>
      <c r="V84" s="66"/>
      <c r="W84" s="66"/>
      <c r="X84" s="66"/>
      <c r="Y84" s="66"/>
      <c r="Z84" s="66"/>
      <c r="AA84" s="66"/>
      <c r="AB84" s="66"/>
      <c r="AC84" s="66"/>
    </row>
    <row r="85" spans="2:29" ht="15.6" x14ac:dyDescent="0.3">
      <c r="B85" s="46"/>
      <c r="C85" s="42"/>
      <c r="D85" s="49"/>
      <c r="E85" s="440" t="s">
        <v>432</v>
      </c>
      <c r="F85" s="440"/>
      <c r="G85" s="440"/>
      <c r="H85" s="440"/>
      <c r="I85" s="440"/>
      <c r="J85" s="144"/>
      <c r="K85" s="282"/>
      <c r="L85" s="327"/>
      <c r="M85" s="282"/>
      <c r="N85" s="240" t="s">
        <v>60</v>
      </c>
      <c r="O85" s="240"/>
      <c r="P85" s="268" t="e">
        <f>K85*($P$49-'Data Tables'!O4)</f>
        <v>#VALUE!</v>
      </c>
      <c r="Q85" s="264"/>
      <c r="R85" s="268" t="e">
        <f>M85*($R$49-'Data Tables'!P4)</f>
        <v>#VALUE!</v>
      </c>
      <c r="S85" s="240" t="s">
        <v>35</v>
      </c>
      <c r="T85" s="49"/>
      <c r="U85" s="320"/>
      <c r="V85" s="66"/>
      <c r="W85" s="66"/>
      <c r="X85" s="66"/>
      <c r="Y85" s="66"/>
      <c r="Z85" s="66"/>
      <c r="AA85" s="66"/>
      <c r="AB85" s="66"/>
      <c r="AC85" s="66"/>
    </row>
    <row r="86" spans="2:29" ht="30" customHeight="1" x14ac:dyDescent="0.3">
      <c r="B86" s="46"/>
      <c r="C86" s="42"/>
      <c r="D86" s="49"/>
      <c r="E86" s="49"/>
      <c r="F86" s="49"/>
      <c r="G86" s="49"/>
      <c r="H86" s="49"/>
      <c r="I86" s="49"/>
      <c r="J86" s="49"/>
      <c r="K86" s="328"/>
      <c r="L86" s="328"/>
      <c r="M86" s="328"/>
      <c r="N86" s="240"/>
      <c r="O86" s="240"/>
      <c r="P86" s="240"/>
      <c r="Q86" s="240"/>
      <c r="R86" s="240"/>
      <c r="S86" s="240"/>
      <c r="T86" s="49"/>
      <c r="U86" s="320"/>
      <c r="V86" s="66"/>
      <c r="W86" s="66"/>
      <c r="X86" s="66"/>
      <c r="Y86" s="66"/>
      <c r="Z86" s="66"/>
      <c r="AA86" s="66"/>
      <c r="AB86" s="66"/>
      <c r="AC86" s="66"/>
    </row>
    <row r="87" spans="2:29" ht="29.55" customHeight="1" x14ac:dyDescent="0.3">
      <c r="B87" s="46"/>
      <c r="C87" s="42"/>
      <c r="D87" s="49"/>
      <c r="E87" s="49"/>
      <c r="F87" s="390" t="s">
        <v>63</v>
      </c>
      <c r="G87" s="390"/>
      <c r="H87" s="390"/>
      <c r="I87" s="390"/>
      <c r="J87" s="49"/>
      <c r="K87" s="290">
        <f>(SUM(K80:K85))</f>
        <v>0</v>
      </c>
      <c r="L87" s="326"/>
      <c r="M87" s="290">
        <f>(SUM(M80:M85))</f>
        <v>0</v>
      </c>
      <c r="N87" s="246" t="s">
        <v>60</v>
      </c>
      <c r="O87" s="246"/>
      <c r="P87" s="273" t="e">
        <f>K10-(SUM(P80:P85))</f>
        <v>#VALUE!</v>
      </c>
      <c r="Q87" s="269"/>
      <c r="R87" s="273" t="e">
        <f>K11-(SUM(R80:R85))</f>
        <v>#VALUE!</v>
      </c>
      <c r="S87" s="246" t="s">
        <v>15</v>
      </c>
      <c r="T87" s="49"/>
      <c r="U87" s="320"/>
      <c r="V87" s="66"/>
      <c r="W87" s="66"/>
      <c r="X87" s="66"/>
      <c r="Y87" s="66"/>
      <c r="Z87" s="66"/>
      <c r="AA87" s="66"/>
      <c r="AB87" s="66"/>
      <c r="AC87" s="66"/>
    </row>
    <row r="88" spans="2:29" ht="15" customHeight="1" x14ac:dyDescent="0.3">
      <c r="B88" s="46"/>
      <c r="C88" s="42"/>
      <c r="D88" s="49"/>
      <c r="E88" s="49"/>
      <c r="F88" s="49"/>
      <c r="G88" s="49"/>
      <c r="H88" s="49"/>
      <c r="I88" s="49"/>
      <c r="J88" s="49"/>
      <c r="K88" s="49"/>
      <c r="L88" s="49"/>
      <c r="M88" s="49"/>
      <c r="N88" s="49"/>
      <c r="O88" s="49"/>
      <c r="P88" s="49"/>
      <c r="Q88" s="49"/>
      <c r="R88" s="49"/>
      <c r="S88" s="49"/>
      <c r="T88" s="49"/>
      <c r="U88" s="320"/>
      <c r="V88" s="66"/>
      <c r="W88" s="66"/>
      <c r="X88" s="66"/>
      <c r="Y88" s="66"/>
      <c r="Z88" s="66"/>
      <c r="AA88" s="66"/>
      <c r="AB88" s="66"/>
      <c r="AC88" s="66"/>
    </row>
    <row r="89" spans="2:29" ht="45.6" customHeight="1" thickBot="1" x14ac:dyDescent="0.35">
      <c r="B89" s="50"/>
      <c r="C89" s="51"/>
      <c r="D89" s="318"/>
      <c r="E89" s="456" t="s">
        <v>436</v>
      </c>
      <c r="F89" s="456"/>
      <c r="G89" s="456"/>
      <c r="H89" s="456"/>
      <c r="I89" s="456"/>
      <c r="J89" s="456"/>
      <c r="K89" s="456"/>
      <c r="L89" s="456"/>
      <c r="M89" s="456"/>
      <c r="N89" s="456"/>
      <c r="O89" s="456"/>
      <c r="P89" s="456"/>
      <c r="Q89" s="456"/>
      <c r="R89" s="456"/>
      <c r="S89" s="456"/>
      <c r="T89" s="456"/>
      <c r="U89" s="329"/>
      <c r="V89" s="66"/>
      <c r="W89" s="66"/>
      <c r="X89" s="66"/>
      <c r="Y89" s="66"/>
      <c r="Z89" s="66"/>
      <c r="AA89" s="66"/>
      <c r="AB89" s="66"/>
      <c r="AC89" s="66"/>
    </row>
    <row r="90" spans="2:29" ht="18" customHeight="1" x14ac:dyDescent="0.3">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row>
    <row r="91" spans="2:29" x14ac:dyDescent="0.25"/>
    <row r="92" spans="2:29" x14ac:dyDescent="0.25"/>
    <row r="93" spans="2:29" x14ac:dyDescent="0.25"/>
    <row r="94" spans="2:29" x14ac:dyDescent="0.25"/>
    <row r="95" spans="2:29" x14ac:dyDescent="0.25"/>
    <row r="96" spans="2:29" x14ac:dyDescent="0.25"/>
    <row r="97" x14ac:dyDescent="0.25"/>
    <row r="98" x14ac:dyDescent="0.25"/>
  </sheetData>
  <sheetProtection algorithmName="SHA-512" hashValue="fiFdMRXRK01L/3lAQEfcNKe5DM9W6oj+iMfk/bsAtC2zTLCtPyhQV7S7gS+BuHdcWSBiCugGk6+bsvl3XSvSCQ==" saltValue="afuuAxdfgUlX1gtcR0j5zA==" spinCount="100000" sheet="1" selectLockedCells="1"/>
  <mergeCells count="83">
    <mergeCell ref="E85:I85"/>
    <mergeCell ref="F87:I87"/>
    <mergeCell ref="E89:T89"/>
    <mergeCell ref="E76:T76"/>
    <mergeCell ref="E80:I80"/>
    <mergeCell ref="E81:I81"/>
    <mergeCell ref="E82:I82"/>
    <mergeCell ref="E83:I83"/>
    <mergeCell ref="E84:I84"/>
    <mergeCell ref="F74:I74"/>
    <mergeCell ref="E58:I58"/>
    <mergeCell ref="E59:I59"/>
    <mergeCell ref="F61:J61"/>
    <mergeCell ref="G62:J62"/>
    <mergeCell ref="E63:T63"/>
    <mergeCell ref="E67:I67"/>
    <mergeCell ref="E68:I68"/>
    <mergeCell ref="E69:I69"/>
    <mergeCell ref="E70:I70"/>
    <mergeCell ref="E71:I71"/>
    <mergeCell ref="E72:I72"/>
    <mergeCell ref="E57:I57"/>
    <mergeCell ref="E43:I43"/>
    <mergeCell ref="T43:X43"/>
    <mergeCell ref="E44:I44"/>
    <mergeCell ref="T44:X44"/>
    <mergeCell ref="E46:I46"/>
    <mergeCell ref="T46:X46"/>
    <mergeCell ref="I49:O49"/>
    <mergeCell ref="F52:J52"/>
    <mergeCell ref="E54:I54"/>
    <mergeCell ref="E55:I55"/>
    <mergeCell ref="E56:I56"/>
    <mergeCell ref="E40:I40"/>
    <mergeCell ref="T40:X40"/>
    <mergeCell ref="E41:I41"/>
    <mergeCell ref="T41:X41"/>
    <mergeCell ref="E42:I42"/>
    <mergeCell ref="T42:X42"/>
    <mergeCell ref="E37:I37"/>
    <mergeCell ref="T37:X37"/>
    <mergeCell ref="E38:I38"/>
    <mergeCell ref="T38:X38"/>
    <mergeCell ref="E39:I39"/>
    <mergeCell ref="T39:X39"/>
    <mergeCell ref="E34:I34"/>
    <mergeCell ref="T34:X34"/>
    <mergeCell ref="E35:I35"/>
    <mergeCell ref="T35:X35"/>
    <mergeCell ref="E36:I36"/>
    <mergeCell ref="T36:X36"/>
    <mergeCell ref="E31:I31"/>
    <mergeCell ref="T31:X31"/>
    <mergeCell ref="E32:I32"/>
    <mergeCell ref="T32:X32"/>
    <mergeCell ref="E33:I33"/>
    <mergeCell ref="T33:X33"/>
    <mergeCell ref="E28:I28"/>
    <mergeCell ref="T28:X28"/>
    <mergeCell ref="E29:I29"/>
    <mergeCell ref="T29:X29"/>
    <mergeCell ref="E30:I30"/>
    <mergeCell ref="T30:X30"/>
    <mergeCell ref="E27:I27"/>
    <mergeCell ref="T27:X27"/>
    <mergeCell ref="E18:O18"/>
    <mergeCell ref="T18:Z18"/>
    <mergeCell ref="T19:Z19"/>
    <mergeCell ref="F20:J20"/>
    <mergeCell ref="T21:X21"/>
    <mergeCell ref="F22:J22"/>
    <mergeCell ref="T22:X22"/>
    <mergeCell ref="T23:X23"/>
    <mergeCell ref="T24:X24"/>
    <mergeCell ref="R25:AC25"/>
    <mergeCell ref="F26:J26"/>
    <mergeCell ref="T26:X26"/>
    <mergeCell ref="F3:T3"/>
    <mergeCell ref="E4:T6"/>
    <mergeCell ref="F8:J8"/>
    <mergeCell ref="F14:J14"/>
    <mergeCell ref="K16:M16"/>
    <mergeCell ref="T16:X16"/>
  </mergeCells>
  <dataValidations count="4">
    <dataValidation type="list" allowBlank="1" showInputMessage="1" showErrorMessage="1" sqref="Y23" xr:uid="{254E5D87-852B-4D56-BCEE-347DA565BE15}">
      <formula1>"550-575,575-600,600-625,625-650,650-675,675-700,700-750,750-800,800-850,850-900"</formula1>
    </dataValidation>
    <dataValidation type="list" allowBlank="1" showInputMessage="1" showErrorMessage="1" sqref="Y22" xr:uid="{79E7B94E-1899-47CF-BC45-08A17F5EEA74}">
      <formula1>"Freely draining, Impermeable - drained for arable, Impermeable - drained for arable and grassland"</formula1>
    </dataValidation>
    <dataValidation type="list" allowBlank="1" showInputMessage="1" showErrorMessage="1" sqref="Y21" xr:uid="{DA4F2BE8-095D-4B75-B259-EEF23248B638}">
      <formula1>"Wensum, Yare, Bure"</formula1>
    </dataValidation>
    <dataValidation type="list" allowBlank="1" showInputMessage="1" showErrorMessage="1" sqref="Y16 N22:N24 K16:L16 Y24 N27:N44 Y27:Y44" xr:uid="{33322707-8619-4676-B7FA-7EF7DB66C65C}">
      <formula1>"Yes,No"</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Introduction</vt:lpstr>
      <vt:lpstr>Info</vt:lpstr>
      <vt:lpstr>Stage 1</vt:lpstr>
      <vt:lpstr>Stage 2</vt:lpstr>
      <vt:lpstr>Stage 3</vt:lpstr>
      <vt:lpstr>Stage 4</vt:lpstr>
      <vt:lpstr>Mitigation - current</vt:lpstr>
      <vt:lpstr>Mitigation - post 2025</vt:lpstr>
      <vt:lpstr>Mitigation - post 2030</vt:lpstr>
      <vt:lpstr>Mitigation comparison</vt:lpstr>
      <vt:lpstr>Zero value Calc</vt:lpstr>
      <vt:lpstr>Graph Calculations</vt:lpstr>
      <vt:lpstr>Rainfall</vt:lpstr>
      <vt:lpstr>Data Tables</vt:lpstr>
      <vt:lpstr>'Mitigation - post 2025'!OsTWs</vt:lpstr>
      <vt:lpstr>'Mitigation - post 2030'!OsTWs</vt:lpstr>
      <vt:lpstr>OsTWs</vt:lpstr>
      <vt:lpstr>permit</vt:lpstr>
      <vt:lpstr>permits</vt:lpstr>
      <vt:lpstr>permits_2030</vt:lpstr>
      <vt:lpstr>'Data Tables'!Print_Area</vt:lpstr>
      <vt:lpstr>'Graph Calculations'!Print_Area</vt:lpstr>
      <vt:lpstr>Info!Print_Area</vt:lpstr>
      <vt:lpstr>Introduction!Print_Area</vt:lpstr>
      <vt:lpstr>'Mitigation - current'!Print_Area</vt:lpstr>
      <vt:lpstr>'Mitigation - post 2025'!Print_Area</vt:lpstr>
      <vt:lpstr>'Mitigation - post 2030'!Print_Area</vt:lpstr>
      <vt:lpstr>'Mitigation comparison'!Print_Area</vt:lpstr>
      <vt:lpstr>'Stage 1'!Print_Area</vt:lpstr>
      <vt:lpstr>'Stage 2'!Print_Area</vt:lpstr>
      <vt:lpstr>'Stage 3'!Print_Area</vt:lpstr>
      <vt:lpstr>'Stage 4'!Print_Area</vt:lpstr>
      <vt:lpstr>'Zero value Calc'!Print_Area</vt:lpstr>
      <vt:lpstr>'Data Tables'!Print_Titles</vt:lpstr>
      <vt:lpstr>w</vt:lpstr>
      <vt:lpstr>Wastewater</vt:lpstr>
      <vt:lpstr>WwTW</vt:lpstr>
      <vt:lpstr>WwTWs</vt:lpstr>
      <vt:lpstr>'Zero value Calc'!Yes</vt:lpstr>
    </vt:vector>
  </TitlesOfParts>
  <Company>Royal HaskoningDHV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Oliver Bowers</dc:creator>
  <cp:lastModifiedBy>Wiggett, Trevor</cp:lastModifiedBy>
  <cp:lastPrinted>2021-01-24T14:08:25Z</cp:lastPrinted>
  <dcterms:created xsi:type="dcterms:W3CDTF">2020-11-21T09:26:11Z</dcterms:created>
  <dcterms:modified xsi:type="dcterms:W3CDTF">2024-05-28T13:41:59Z</dcterms:modified>
</cp:coreProperties>
</file>