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updateLinks="never" defaultThemeVersion="166925"/>
  <mc:AlternateContent xmlns:mc="http://schemas.openxmlformats.org/markup-compatibility/2006">
    <mc:Choice Requires="x15">
      <x15ac:absPath xmlns:x15ac="http://schemas.microsoft.com/office/spreadsheetml/2010/11/ac" url="K:\ICT\Web\Internet\PLANNING\NUTRIENT NEUTRALITY\Update January 2023\3. Natural Englands calculator and supporting documents\"/>
    </mc:Choice>
  </mc:AlternateContent>
  <xr:revisionPtr revIDLastSave="0" documentId="13_ncr:1_{741EEF3A-88C1-4647-9ADF-6D6BC2BC0115}" xr6:coauthVersionLast="47" xr6:coauthVersionMax="47" xr10:uidLastSave="{00000000-0000-0000-0000-000000000000}"/>
  <workbookProtection workbookAlgorithmName="SHA-512" workbookHashValue="qYFh2HsNi2ZZMx5AQGPUaKcw3U+UjshUvq0L4oiD77fXQWdPed4Ho1swupeBGnVTiuV4rS8UaJJzoRaN7/SZwQ==" workbookSaltValue="9q3xBYqyg6QR1iHQTIukMQ==" workbookSpinCount="100000" lockStructure="1"/>
  <bookViews>
    <workbookView xWindow="-108" yWindow="-108" windowWidth="23256" windowHeight="12576" tabRatio="639" xr2:uid="{82A04952-E2FF-4A89-87AE-39010027FF5F}"/>
  </bookViews>
  <sheets>
    <sheet name="Intro" sheetId="6" r:id="rId1"/>
    <sheet name="Background" sheetId="16" r:id="rId2"/>
    <sheet name="River Wensum SAC" sheetId="15" r:id="rId3"/>
    <sheet name="Instructions" sheetId="17" r:id="rId4"/>
    <sheet name="Development site details" sheetId="2" r:id="rId5"/>
    <sheet name="Stage 1" sheetId="7" r:id="rId6"/>
    <sheet name="Stage 2" sheetId="8" r:id="rId7"/>
    <sheet name="Stage 3" sheetId="9" r:id="rId8"/>
    <sheet name="Stage 4" sheetId="10" r:id="rId9"/>
    <sheet name="Stage 4 (2)" sheetId="13" state="hidden" r:id="rId10"/>
    <sheet name="Lookups" sheetId="3" r:id="rId11"/>
  </sheets>
  <externalReferences>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1" i="3" l="1"/>
  <c r="M41" i="3"/>
  <c r="M47" i="3"/>
  <c r="M53" i="3"/>
  <c r="M58" i="3"/>
  <c r="M64" i="3"/>
  <c r="M67" i="3"/>
  <c r="M70" i="3"/>
  <c r="M75" i="3"/>
  <c r="M80" i="3"/>
  <c r="M84" i="3"/>
  <c r="M89" i="3"/>
  <c r="M93" i="3"/>
  <c r="M97" i="3"/>
  <c r="M102" i="3"/>
  <c r="M107" i="3"/>
  <c r="M112" i="3"/>
  <c r="L117" i="3"/>
  <c r="L112" i="3" l="1"/>
  <c r="L107" i="3"/>
  <c r="L102" i="3"/>
  <c r="L97" i="3"/>
  <c r="L93" i="3"/>
  <c r="L89" i="3"/>
  <c r="L84" i="3"/>
  <c r="L80" i="3"/>
  <c r="L75" i="3"/>
  <c r="L70" i="3"/>
  <c r="L67" i="3"/>
  <c r="L64" i="3"/>
  <c r="L58" i="3"/>
  <c r="L53" i="3"/>
  <c r="L47" i="3"/>
  <c r="L41" i="3"/>
  <c r="D14" i="7" l="1"/>
  <c r="H22" i="7"/>
  <c r="E10" i="9" l="1"/>
  <c r="O107" i="3" l="1"/>
  <c r="O97" i="3"/>
  <c r="O89" i="3"/>
  <c r="O80" i="3"/>
  <c r="O70" i="3"/>
  <c r="O64" i="3"/>
  <c r="O53" i="3"/>
  <c r="J294" i="3" s="1"/>
  <c r="O41" i="3"/>
  <c r="N107" i="3"/>
  <c r="N97" i="3"/>
  <c r="N89" i="3"/>
  <c r="N80" i="3"/>
  <c r="N70" i="3"/>
  <c r="N64" i="3"/>
  <c r="N53" i="3"/>
  <c r="I294" i="3" s="1"/>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228" i="3"/>
  <c r="K229" i="3"/>
  <c r="K230" i="3"/>
  <c r="K231" i="3"/>
  <c r="K232" i="3"/>
  <c r="K233" i="3"/>
  <c r="K234" i="3"/>
  <c r="K235" i="3"/>
  <c r="K236" i="3"/>
  <c r="K237" i="3"/>
  <c r="K238" i="3"/>
  <c r="K239" i="3"/>
  <c r="K240" i="3"/>
  <c r="K241" i="3"/>
  <c r="K242" i="3"/>
  <c r="K243" i="3"/>
  <c r="K244" i="3"/>
  <c r="K245" i="3"/>
  <c r="K246" i="3"/>
  <c r="K247" i="3"/>
  <c r="K248" i="3"/>
  <c r="K249" i="3"/>
  <c r="K250" i="3"/>
  <c r="K251" i="3"/>
  <c r="K252" i="3"/>
  <c r="K253" i="3"/>
  <c r="K254" i="3"/>
  <c r="K255" i="3"/>
  <c r="K256" i="3"/>
  <c r="K257" i="3"/>
  <c r="K258" i="3"/>
  <c r="K259" i="3"/>
  <c r="K260" i="3"/>
  <c r="K261" i="3"/>
  <c r="K262" i="3"/>
  <c r="K263" i="3"/>
  <c r="K264" i="3"/>
  <c r="K265" i="3"/>
  <c r="K266" i="3"/>
  <c r="K267" i="3"/>
  <c r="K268" i="3"/>
  <c r="K269" i="3"/>
  <c r="K270" i="3"/>
  <c r="K271" i="3"/>
  <c r="K272" i="3"/>
  <c r="K273" i="3"/>
  <c r="K274" i="3"/>
  <c r="K275" i="3"/>
  <c r="K276" i="3"/>
  <c r="K277" i="3"/>
  <c r="K278" i="3"/>
  <c r="K279" i="3"/>
  <c r="K280" i="3"/>
  <c r="K281" i="3"/>
  <c r="K282" i="3"/>
  <c r="K283" i="3"/>
  <c r="K284" i="3"/>
  <c r="K285" i="3"/>
  <c r="K286" i="3"/>
  <c r="K287" i="3"/>
  <c r="K288" i="3"/>
  <c r="K289" i="3"/>
  <c r="K290" i="3"/>
  <c r="K291" i="3"/>
  <c r="K292" i="3"/>
  <c r="K41" i="3"/>
  <c r="H118" i="3" l="1"/>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117"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41" i="3"/>
  <c r="E15" i="8" l="1"/>
  <c r="F16" i="8"/>
  <c r="F17" i="8"/>
  <c r="F18" i="8"/>
  <c r="F19" i="8"/>
  <c r="F20" i="8"/>
  <c r="F21" i="8"/>
  <c r="F22" i="8"/>
  <c r="F23" i="8"/>
  <c r="F24" i="8"/>
  <c r="F25" i="8"/>
  <c r="F26" i="8"/>
  <c r="F31" i="8"/>
  <c r="F15" i="8"/>
  <c r="E16" i="8"/>
  <c r="E17" i="8"/>
  <c r="E18" i="8"/>
  <c r="E19" i="8"/>
  <c r="E20" i="8"/>
  <c r="E21" i="8"/>
  <c r="E22" i="8"/>
  <c r="E23" i="8"/>
  <c r="E24" i="8"/>
  <c r="E25" i="8"/>
  <c r="E26" i="8"/>
  <c r="E31" i="8"/>
  <c r="F30" i="8"/>
  <c r="E30" i="8"/>
  <c r="J298" i="3" l="1"/>
  <c r="F27" i="8" s="1"/>
  <c r="C21" i="10" l="1"/>
  <c r="F21" i="10"/>
  <c r="F29" i="10"/>
  <c r="F22" i="10"/>
  <c r="G35" i="7"/>
  <c r="G20" i="7"/>
  <c r="C20" i="7"/>
  <c r="G10" i="7"/>
  <c r="F15" i="7"/>
  <c r="H15" i="7"/>
  <c r="G22" i="7"/>
  <c r="H14" i="7"/>
  <c r="F14" i="7"/>
  <c r="G14" i="7"/>
  <c r="G15" i="7"/>
  <c r="I35" i="7"/>
  <c r="I22" i="7"/>
  <c r="D22" i="7"/>
  <c r="D23" i="7" s="1"/>
  <c r="D26" i="7" l="1"/>
  <c r="F19" i="9"/>
  <c r="F23" i="9"/>
  <c r="E21" i="9"/>
  <c r="E25" i="9"/>
  <c r="J300" i="3"/>
  <c r="F29" i="8" s="1"/>
  <c r="J299" i="3"/>
  <c r="F28" i="8" s="1"/>
  <c r="I299" i="3"/>
  <c r="E28" i="8" s="1"/>
  <c r="I300" i="3"/>
  <c r="E29" i="8" s="1"/>
  <c r="I298" i="3"/>
  <c r="E27" i="8" s="1"/>
  <c r="D15" i="7"/>
  <c r="H35" i="7" s="1"/>
  <c r="H300" i="3"/>
  <c r="H299" i="3"/>
  <c r="H298" i="3"/>
  <c r="H297" i="3"/>
  <c r="H296" i="3"/>
  <c r="H295" i="3"/>
  <c r="H294" i="3"/>
  <c r="H293" i="3"/>
  <c r="D32" i="7" l="1"/>
  <c r="F11" i="9"/>
  <c r="F10" i="9"/>
  <c r="F12" i="9"/>
  <c r="F15" i="9"/>
  <c r="E24" i="9"/>
  <c r="E20" i="9"/>
  <c r="E16" i="9"/>
  <c r="E12" i="9"/>
  <c r="F26" i="9"/>
  <c r="F22" i="9"/>
  <c r="F18" i="9"/>
  <c r="F14" i="9"/>
  <c r="E13" i="9"/>
  <c r="E23" i="9"/>
  <c r="E19" i="9"/>
  <c r="E15" i="9"/>
  <c r="E11" i="9"/>
  <c r="F25" i="9"/>
  <c r="F21" i="9"/>
  <c r="F13" i="9"/>
  <c r="E26" i="9"/>
  <c r="E22" i="9"/>
  <c r="E18" i="9"/>
  <c r="E14" i="9"/>
  <c r="F24" i="9"/>
  <c r="F20" i="9"/>
  <c r="F16" i="9"/>
  <c r="E17" i="9" l="1"/>
  <c r="E27" i="9" s="1"/>
  <c r="G22" i="10" s="1"/>
  <c r="F17" i="9"/>
  <c r="F27" i="9" s="1"/>
  <c r="F32" i="8"/>
  <c r="D27" i="7"/>
  <c r="D33" i="7"/>
  <c r="E32" i="8"/>
  <c r="G28" i="10" l="1"/>
  <c r="D11" i="10"/>
  <c r="D17" i="10"/>
  <c r="D34" i="7"/>
  <c r="D35" i="7" s="1"/>
  <c r="D28" i="7"/>
  <c r="C16" i="13"/>
  <c r="C27" i="13"/>
  <c r="D16" i="10" l="1"/>
  <c r="D18" i="10" s="1"/>
  <c r="D19" i="10" s="1"/>
  <c r="D28" i="10" s="1"/>
  <c r="C15" i="13"/>
  <c r="C17" i="13" s="1"/>
  <c r="C18" i="13" s="1"/>
  <c r="F29" i="13" s="1"/>
  <c r="D27" i="9" l="1"/>
  <c r="D32" i="8"/>
  <c r="D29" i="7"/>
  <c r="D10" i="10" l="1"/>
  <c r="D12" i="10" s="1"/>
  <c r="D13" i="10" s="1"/>
  <c r="D22" i="10" s="1"/>
  <c r="C24" i="13"/>
  <c r="C30" i="13" s="1"/>
  <c r="C33" i="13" s="1"/>
  <c r="H11" i="13" l="1"/>
  <c r="F24" i="13"/>
</calcChain>
</file>

<file path=xl/sharedStrings.xml><?xml version="1.0" encoding="utf-8"?>
<sst xmlns="http://schemas.openxmlformats.org/spreadsheetml/2006/main" count="1377" uniqueCount="273">
  <si>
    <t>Catchment</t>
  </si>
  <si>
    <t>Farmscoper Farm Term</t>
  </si>
  <si>
    <t>Climate</t>
  </si>
  <si>
    <t>Farmscoper Soil Drainage Term</t>
  </si>
  <si>
    <t>Lookup</t>
  </si>
  <si>
    <t>Operational Catchment</t>
  </si>
  <si>
    <t>Farmscoper equivalent</t>
  </si>
  <si>
    <t>Cereals</t>
  </si>
  <si>
    <t>600to700</t>
  </si>
  <si>
    <t>FreeDrain</t>
  </si>
  <si>
    <t>DrainedAr</t>
  </si>
  <si>
    <t>DrainedArGr</t>
  </si>
  <si>
    <t>700to900</t>
  </si>
  <si>
    <t>Soilscape drainage term</t>
  </si>
  <si>
    <t>Farmscoper term</t>
  </si>
  <si>
    <t>Definition</t>
  </si>
  <si>
    <t>Freely draining</t>
  </si>
  <si>
    <t>Free Draining</t>
  </si>
  <si>
    <t>Slightly impeded drainage</t>
  </si>
  <si>
    <t>Drained for arable</t>
  </si>
  <si>
    <t>Impeded drainage</t>
  </si>
  <si>
    <t>Drained for arable and grassland</t>
  </si>
  <si>
    <t>900to1200</t>
  </si>
  <si>
    <t>Variable</t>
  </si>
  <si>
    <t>Surface Wetness</t>
  </si>
  <si>
    <t>General</t>
  </si>
  <si>
    <t>Naturally wet</t>
  </si>
  <si>
    <t>1200to1500</t>
  </si>
  <si>
    <t>Over1500</t>
  </si>
  <si>
    <t>Rainfall band</t>
  </si>
  <si>
    <t>508 - 525</t>
  </si>
  <si>
    <t>525.1 - 550</t>
  </si>
  <si>
    <t>Horticulture</t>
  </si>
  <si>
    <t>550.1 - 575</t>
  </si>
  <si>
    <t>575.1 - 600</t>
  </si>
  <si>
    <t>600.1 - 625</t>
  </si>
  <si>
    <t>625.1 - 650</t>
  </si>
  <si>
    <t>650.1 - 675</t>
  </si>
  <si>
    <t>675.1 - 700</t>
  </si>
  <si>
    <t>700.1 - 750</t>
  </si>
  <si>
    <t>750.1 - 800</t>
  </si>
  <si>
    <t>800.1 - 850</t>
  </si>
  <si>
    <t>Pig</t>
  </si>
  <si>
    <t>850.1 - 900</t>
  </si>
  <si>
    <t>900.1 - 950</t>
  </si>
  <si>
    <t>950.1 - 1,000</t>
  </si>
  <si>
    <t>1,000.1 - 1,100</t>
  </si>
  <si>
    <t>Poultry</t>
  </si>
  <si>
    <t>1,100.1 - 1,200</t>
  </si>
  <si>
    <t>1,200.1 - 1,400</t>
  </si>
  <si>
    <t>1,400.1 - 1,600</t>
  </si>
  <si>
    <t>1,600.1 - 2,000</t>
  </si>
  <si>
    <t>2,000.1 - 2,400</t>
  </si>
  <si>
    <t>2,400.1 - 3,000</t>
  </si>
  <si>
    <t>3,000.1 - 4,000</t>
  </si>
  <si>
    <t>Dairy</t>
  </si>
  <si>
    <t>4,000.1 - 5,500</t>
  </si>
  <si>
    <t>LFA</t>
  </si>
  <si>
    <t>Lowland</t>
  </si>
  <si>
    <t>Mixed</t>
  </si>
  <si>
    <t>Greenspace</t>
  </si>
  <si>
    <t>Woodland</t>
  </si>
  <si>
    <t>Shrub</t>
  </si>
  <si>
    <t>Water</t>
  </si>
  <si>
    <t>Residential urban land</t>
  </si>
  <si>
    <t>Open urban land</t>
  </si>
  <si>
    <t>Community food growing</t>
  </si>
  <si>
    <t>Planning Application number:</t>
  </si>
  <si>
    <t>Site Address:</t>
  </si>
  <si>
    <t>Site Name:</t>
  </si>
  <si>
    <t>Catchment:</t>
  </si>
  <si>
    <t>Date of first occupancy:</t>
  </si>
  <si>
    <t>Average occupancy rate:</t>
  </si>
  <si>
    <t>Additional population</t>
  </si>
  <si>
    <t>Wastewater by development</t>
  </si>
  <si>
    <t>litres/day</t>
  </si>
  <si>
    <t>TP discharge from WwTW</t>
  </si>
  <si>
    <t>mg TP/day</t>
  </si>
  <si>
    <t>Convert to kg/TP/d</t>
  </si>
  <si>
    <t>kg TP/day</t>
  </si>
  <si>
    <t>Convert to kg/TP/yr</t>
  </si>
  <si>
    <t>kg TP/yr</t>
  </si>
  <si>
    <t>Soil drainage type:</t>
  </si>
  <si>
    <t>Total:</t>
  </si>
  <si>
    <t>N loading to WwTW:</t>
  </si>
  <si>
    <t>Net land use N change:</t>
  </si>
  <si>
    <t>N budget:</t>
  </si>
  <si>
    <t>N budget + 20% buffer:</t>
  </si>
  <si>
    <t>P budget + 20% buffer:</t>
  </si>
  <si>
    <t>P budget:</t>
  </si>
  <si>
    <t>Net land use P change:</t>
  </si>
  <si>
    <t>P loading to WwTW:</t>
  </si>
  <si>
    <t>NVZ</t>
  </si>
  <si>
    <t>No</t>
  </si>
  <si>
    <t>Yes</t>
  </si>
  <si>
    <t>Nitrogen export coefficient</t>
  </si>
  <si>
    <r>
      <t xml:space="preserve">Water usage </t>
    </r>
    <r>
      <rPr>
        <sz val="11"/>
        <rFont val="Arial"/>
        <family val="2"/>
      </rPr>
      <t>(litres/person/day)</t>
    </r>
    <r>
      <rPr>
        <b/>
        <sz val="11"/>
        <rFont val="Arial"/>
        <family val="2"/>
      </rPr>
      <t>:</t>
    </r>
  </si>
  <si>
    <r>
      <t xml:space="preserve">Area </t>
    </r>
    <r>
      <rPr>
        <sz val="11"/>
        <color theme="1"/>
        <rFont val="Arial"/>
        <family val="2"/>
      </rPr>
      <t>(ha)</t>
    </r>
  </si>
  <si>
    <r>
      <t>Commercial/</t>
    </r>
    <r>
      <rPr>
        <i/>
        <sz val="11"/>
        <color theme="1"/>
        <rFont val="Arial"/>
        <family val="2"/>
      </rPr>
      <t>i</t>
    </r>
    <r>
      <rPr>
        <sz val="11"/>
        <color theme="1"/>
        <rFont val="Arial"/>
        <family val="2"/>
      </rPr>
      <t>ndustrial urban land</t>
    </r>
  </si>
  <si>
    <t>Discharge Site Name</t>
  </si>
  <si>
    <t>Septic Tank default</t>
  </si>
  <si>
    <t>TN discharge from WwTW</t>
  </si>
  <si>
    <t>mg TN/day</t>
  </si>
  <si>
    <t>kg TN/day</t>
  </si>
  <si>
    <t>kg TN/yr</t>
  </si>
  <si>
    <t>Convert to kg/TN/d</t>
  </si>
  <si>
    <t>Convert to kg/TN/yr</t>
  </si>
  <si>
    <t>Package Treatment Plant default</t>
  </si>
  <si>
    <t>Package Treatment Plant user defined</t>
  </si>
  <si>
    <t>Septic Tank user defined</t>
  </si>
  <si>
    <t>Table 1: Stage 1 WwTW lookup</t>
  </si>
  <si>
    <t>-</t>
  </si>
  <si>
    <t>Mid</t>
  </si>
  <si>
    <t>Farmscoper Equivalent</t>
  </si>
  <si>
    <t>Under600</t>
  </si>
  <si>
    <t>Residential N export coefficient (kg/ha/yr)</t>
  </si>
  <si>
    <t>Commercial / industrial N export coefficient (kg/ha/yr)</t>
  </si>
  <si>
    <t>Open urban N export coefficient (kg/ha/yr)</t>
  </si>
  <si>
    <t>Residential P export coefficient (kg/ha/yr)</t>
  </si>
  <si>
    <t>Commercial / industrial P export coefficient (kg/ha/yr)</t>
  </si>
  <si>
    <t>Open urban P export coefficient (kg/ha/yr)</t>
  </si>
  <si>
    <t xml:space="preserve">P Urban Runoff Coefficient </t>
  </si>
  <si>
    <t>Table 2: Stage 2 and 3 Landcover lookup</t>
  </si>
  <si>
    <t>All Possible Landcover Types</t>
  </si>
  <si>
    <t>Table 5: Stage 2 and 3 Soil Drainage Lookup</t>
  </si>
  <si>
    <t>Table 4: Stage 2 and 3 Catchment Lookup</t>
  </si>
  <si>
    <t>Table 6: Stage 2 and 3 NVZ Lookup</t>
  </si>
  <si>
    <t>Table 7: Stage 2 and 3 Landcovers</t>
  </si>
  <si>
    <t>Table 8: Stage 2 and 3 Landcover lookup</t>
  </si>
  <si>
    <t>The total amount of nitrogen to mitigate is:</t>
  </si>
  <si>
    <t>Your final phosphorus budget is:</t>
  </si>
  <si>
    <t>have pop up message if negative that says soemthing like "No P to mitigate</t>
  </si>
  <si>
    <t xml:space="preserve">If positive have message similar to the right </t>
  </si>
  <si>
    <r>
      <t xml:space="preserve">Date </t>
    </r>
    <r>
      <rPr>
        <sz val="11"/>
        <rFont val="Calibri"/>
        <family val="2"/>
        <scheme val="minor"/>
      </rPr>
      <t>(dd/mm/yyyy)</t>
    </r>
    <r>
      <rPr>
        <b/>
        <sz val="11"/>
        <rFont val="Calibri"/>
        <family val="2"/>
        <scheme val="minor"/>
      </rPr>
      <t>:</t>
    </r>
  </si>
  <si>
    <t>AND($C$9&lt;DATE(2025,1,1),OR((VLOOKUP($C$13,Lookups!$A$9:$E$14,2,FALSE))&gt;(VLOOKUP($C$13,Lookups!$A$9:$E$14,4,FALSE)),(VLOOKUP($C$13,Lookups!$A$9:$E$14,3,FALSE))&gt;(VLOOKUP($C$13,Lookups!$A$9:$E$14,5,FALSE))))</t>
  </si>
  <si>
    <t>Annual wastewater TP load</t>
  </si>
  <si>
    <t>Annual wastewater TN load</t>
  </si>
  <si>
    <t>people</t>
  </si>
  <si>
    <t>The total annual phosphorus load to mitigate is:</t>
  </si>
  <si>
    <t>The total annual nitrogen load to mitigate is:</t>
  </si>
  <si>
    <t xml:space="preserve">http://environment.data.gov.uk/catchment-planning/ </t>
  </si>
  <si>
    <t xml:space="preserve">http://www.landis.org.uk/soilscapes/#.  </t>
  </si>
  <si>
    <t>http://mapapps2.bgs.ac.uk/ukso/home.html?layers=NVZEng</t>
  </si>
  <si>
    <t>New land use type(s)</t>
  </si>
  <si>
    <t>Existing land use type(s)</t>
  </si>
  <si>
    <t>Instructions</t>
  </si>
  <si>
    <t>The nutrient budget for a site is calculated in four stages, with each stage implemented in the following worksheets.</t>
  </si>
  <si>
    <t xml:space="preserve">Note: </t>
  </si>
  <si>
    <t xml:space="preserve">Key: </t>
  </si>
  <si>
    <t>Values to be entered by the user</t>
  </si>
  <si>
    <t>Fixed or calculated values</t>
  </si>
  <si>
    <t>Lookup tables</t>
  </si>
  <si>
    <r>
      <t>It is advisable to retain a blank copy of this workbook and "Save as" a new copy each time you calculate a budget, in case of any mistakes in data inputs or to ease calculation of new nutrient budgets .</t>
    </r>
    <r>
      <rPr>
        <b/>
        <sz val="11"/>
        <color rgb="FF000000"/>
        <rFont val="Arial"/>
        <family val="2"/>
      </rPr>
      <t xml:space="preserve"> </t>
    </r>
  </si>
  <si>
    <t>When a cell is selected, instructions are shown on how to fill out the cell:</t>
  </si>
  <si>
    <t xml:space="preserve">In this section the user will need to enter: </t>
  </si>
  <si>
    <t>The date of first occupancy. This is because some wastewater treatment works (WwTW) may be due an upgrade in 2025 which will change the nutrient concentration permit values. This will be shown through two values for the permits and nutrients load from before and after the upgrade.</t>
  </si>
  <si>
    <t>In this section some environmental information about the development will need to be entered as well as the type(s) and area(s) of landcover on the development site. Only landcovers for the land that is being altered by the development should be entered.</t>
  </si>
  <si>
    <t>The drop down list of landcover types contains seven agricultural landcover types and eight different non-agricultural landcover types that may be present in the development. Please find out what landcover types are within the development before completing this tool. If there is a landcover within the development area that is not in the list please select the most similar landcover type.</t>
  </si>
  <si>
    <t>The instructions at the bottom of this page detail how to find the environmental information for the site if it is unknown.</t>
  </si>
  <si>
    <t>In this section the user will need to select the type(s) and area(s) of the landcover present on the new site.</t>
  </si>
  <si>
    <t>The drop down list of landcover types contains eight different landcover types that may be present on the development site. Please find out what landcover types will be within the development site before completing this tool. If there is a landcover within the development site that is not in the list please select the most similar landcover type.</t>
  </si>
  <si>
    <t>The guidance document that accompanies this calculator breaks down what is included in each landcover type.</t>
  </si>
  <si>
    <t>This final stage automatically calculates the results from Stage 1-3 using the equation below.</t>
  </si>
  <si>
    <t>The value(s) shown are how much nutrient mitigation is required in kilograms per year to achieve nutrient neutrality.</t>
  </si>
  <si>
    <t>If there are two values due to changing permits, the calculator will show the total amount of nutrient mitigation that is needed before and after the changing permit date.</t>
  </si>
  <si>
    <t>b) Search the location by place name, postcode etc. This will give a high-level view of the area. Use the zoom feature to find the exact location of the development.</t>
  </si>
  <si>
    <t>c) Click on the light blue area on the map in which the development is located. This will bring the user to the Operational Catchment page</t>
  </si>
  <si>
    <t>d) Make note of the name of the Operational Catchment and select it from the dropdown list in the relevant cell.</t>
  </si>
  <si>
    <t>b) Find the site location on the map by using the search bar on the right side of the map in the 'Search' tab. Searching an area will generate a pop up window in which you can view the soil information by clicking 'View soil information'. If this is not an option then click on the relevant soil type on the map and click on the 'Soil information' tab on the right hand side of the map, below the 'Search' tab.</t>
  </si>
  <si>
    <t>c) The 'Soil drainage type' value can be found In the 'Soil information' under the title 'Drainage:'</t>
  </si>
  <si>
    <t>d) Make a note of this soil type and select the relevant soil drainage type from the drop down list in the relevant cell.</t>
  </si>
  <si>
    <t>c) Click on the dropdown list next to the title 'Select spatial data type to view:' on the left of the map and select 'Rainfall'. Next select the Legend tab.</t>
  </si>
  <si>
    <t>d) Zoom in on the map to find the location of the development and find the corresponding rainfall range from the Legend.</t>
  </si>
  <si>
    <t xml:space="preserve">e) Select the rainfall band from the drop down list in the table.  If your rainfall band is not in the drop down list, please select the closest band shown in the list.                               </t>
  </si>
  <si>
    <t>b) Enter the location of the development site in the search bar.</t>
  </si>
  <si>
    <t xml:space="preserve">d) Make note of this and select this in the dropdown list. </t>
  </si>
  <si>
    <t>2.1 Stage 1: calculate the new nutrient load associated with the additional wastewater:</t>
  </si>
  <si>
    <t>2.2 Stage 2 - calculate the annual nutrient load from existing (pre development) land use on the development site:</t>
  </si>
  <si>
    <t>2.3 Stage 3 - calculate the annual nutrient load from new (post-development) land use on the development site:</t>
  </si>
  <si>
    <t>2.4 Stage 4 - calculate the net change in nutrient loading for the site and the final annual nutrient budget for the development site:</t>
  </si>
  <si>
    <t>2.5 The equation used to calculate the nutrient budget:</t>
  </si>
  <si>
    <t>3.1 Instructions for finding the Operational Catchment that the development is situated within:</t>
  </si>
  <si>
    <t>3.3 Instructions for finding the annual average rainfall that the development will receive using the National River Flow Archive:</t>
  </si>
  <si>
    <t>3.4 Instructions for finding out whether the development is in a Nitrate Vulnerable Zone (NVZ):</t>
  </si>
  <si>
    <t>Mean P export of farm type</t>
  </si>
  <si>
    <t>Mean N export of farm type</t>
  </si>
  <si>
    <t>Mean P export of farm type and climate combination</t>
  </si>
  <si>
    <t>Mean N export of farm type and climate combination</t>
  </si>
  <si>
    <t>Table 3: Stage 2 and 3 Rainfall / Urban Lookup</t>
  </si>
  <si>
    <t>Phosphorus, Total as P (mg/l), permit post 2025</t>
  </si>
  <si>
    <t>Phosphorus, Total as P (mg/l)</t>
  </si>
  <si>
    <t>N Urban Runoff Coefficient (kg/ha/yr)</t>
  </si>
  <si>
    <t>Background</t>
  </si>
  <si>
    <t>Stage 1 Calculated Loading</t>
  </si>
  <si>
    <t>User Inputs</t>
  </si>
  <si>
    <t>Stage 1</t>
  </si>
  <si>
    <r>
      <t xml:space="preserve">Annual phosphorus nutrient export 
</t>
    </r>
    <r>
      <rPr>
        <sz val="11"/>
        <color theme="1"/>
        <rFont val="Arial"/>
        <family val="2"/>
      </rPr>
      <t>(kg TP)</t>
    </r>
  </si>
  <si>
    <r>
      <t xml:space="preserve">Annual nitrogen nutrient export 
</t>
    </r>
    <r>
      <rPr>
        <sz val="11"/>
        <color theme="1"/>
        <rFont val="Arial"/>
        <family val="2"/>
      </rPr>
      <t>(kg TN)</t>
    </r>
  </si>
  <si>
    <t>Stage 2</t>
  </si>
  <si>
    <t>Stage 3</t>
  </si>
  <si>
    <t>Calculated Outputs</t>
  </si>
  <si>
    <t>Stage 4</t>
  </si>
  <si>
    <t>Look Up Tables</t>
  </si>
  <si>
    <r>
      <t xml:space="preserve">Annual nitrogen nutrient export
</t>
    </r>
    <r>
      <rPr>
        <sz val="11"/>
        <color theme="1"/>
        <rFont val="Arial"/>
        <family val="2"/>
      </rPr>
      <t>(kg TN)</t>
    </r>
  </si>
  <si>
    <t>3.2 Instructions for finding the drainage associated with the predominant soil type within development site:</t>
  </si>
  <si>
    <t>Farm Lookup</t>
  </si>
  <si>
    <t>c) Once the area has been located, click on the map where the development is located to find out if is within an NVZ.</t>
  </si>
  <si>
    <r>
      <t xml:space="preserve">Wastewater treatment works P permit </t>
    </r>
    <r>
      <rPr>
        <sz val="11"/>
        <rFont val="Arial"/>
        <family val="2"/>
      </rPr>
      <t>(mg TP/litre)</t>
    </r>
    <r>
      <rPr>
        <b/>
        <sz val="11"/>
        <rFont val="Arial"/>
        <family val="2"/>
      </rPr>
      <t>:</t>
    </r>
  </si>
  <si>
    <t>Wastewater treatment works:</t>
  </si>
  <si>
    <r>
      <t xml:space="preserve">Wastewater treatment works N permit </t>
    </r>
    <r>
      <rPr>
        <sz val="11"/>
        <rFont val="Arial"/>
        <family val="2"/>
      </rPr>
      <t>(mg TN/litre)</t>
    </r>
    <r>
      <rPr>
        <b/>
        <sz val="11"/>
        <rFont val="Arial"/>
        <family val="2"/>
      </rPr>
      <t>:</t>
    </r>
  </si>
  <si>
    <r>
      <t xml:space="preserve">Annual average rainfall </t>
    </r>
    <r>
      <rPr>
        <sz val="11"/>
        <rFont val="Arial"/>
        <family val="2"/>
      </rPr>
      <t>(mm)</t>
    </r>
    <r>
      <rPr>
        <b/>
        <sz val="11"/>
        <rFont val="Arial"/>
        <family val="2"/>
      </rPr>
      <t>:</t>
    </r>
  </si>
  <si>
    <t>Within Nitrate Vulnerable Zone (NVZ):</t>
  </si>
  <si>
    <t>Brisley Hsw</t>
  </si>
  <si>
    <t>Bylaugh Water Recycling Centre</t>
  </si>
  <si>
    <t>Foulsham Water Recycling Centre</t>
  </si>
  <si>
    <t>Reepham Water Recycling Centre</t>
  </si>
  <si>
    <t>South Raynham Hsw</t>
  </si>
  <si>
    <t>Wensum</t>
  </si>
  <si>
    <t>b) This link will bring the user to the Wensum at Costessey Mill flow gauge catchment information page.</t>
  </si>
  <si>
    <t xml:space="preserve">The values already included in this tool have been chosen based on research to determine suitable inputs to the nutrient budget that meet the HRA tests of beyond reasonable scientific doubt, in perpetuity (practically speaking this is 80-125 years) and in accordance with the precautionary principle. If editing any values in this tool, you must make sure there is a sufficient evidence base to justify these changes and that the new inputs are selected in accordance with the precautionary principle.  </t>
  </si>
  <si>
    <t>Development site details</t>
  </si>
  <si>
    <t>River Wensum Special Area of Conservation (SAC)</t>
  </si>
  <si>
    <t>Wensum Specific Landcover Types</t>
  </si>
  <si>
    <t>3008_Broadland</t>
  </si>
  <si>
    <t>Nitrogen, Total as N (mg/l)</t>
  </si>
  <si>
    <t>Nitrogen, Total as N (mg/l), permit post 2025</t>
  </si>
  <si>
    <t>https://nrfa.ceh.ac.uk/data/station/spatial/34004</t>
  </si>
  <si>
    <t>Billingford STW</t>
  </si>
  <si>
    <t>Bircham Newton (Monks Close) WRC</t>
  </si>
  <si>
    <t>Dereham WRC</t>
  </si>
  <si>
    <t>East Bilney STW</t>
  </si>
  <si>
    <t>Fakenham (Old And New) WRC</t>
  </si>
  <si>
    <t>Gateley STW</t>
  </si>
  <si>
    <t>Hindolveston Oxigest</t>
  </si>
  <si>
    <t>Little Fransham Cro STW</t>
  </si>
  <si>
    <t>Little Fransham(Gc) STW</t>
  </si>
  <si>
    <t>North Elmham STW</t>
  </si>
  <si>
    <t>Sculthorpe STW</t>
  </si>
  <si>
    <t>Sparham Norwich Road WRC</t>
  </si>
  <si>
    <t>Sparham (Wells Close)</t>
  </si>
  <si>
    <t>Stanfield STW</t>
  </si>
  <si>
    <t>Stibbard Moor End STW</t>
  </si>
  <si>
    <t>Swanton Morley Water Recycling Centre</t>
  </si>
  <si>
    <t>Swanton Novers STW</t>
  </si>
  <si>
    <t>Weasenham All Saints STW</t>
  </si>
  <si>
    <t>Weasenham St.Peter STW</t>
  </si>
  <si>
    <t>Wendling STW</t>
  </si>
  <si>
    <t>West Raynham STW</t>
  </si>
  <si>
    <t xml:space="preserve">Increased levels of nitrogen and phosphorous entering aquatic environments via surface water and groundwater can severely threaten these sensitive habitats and species within the SAC. The elevated levels of nutrients can cause eutrophication, leading to algal blooms which disrupt normal ecosystem function and cause major changes in the aquatic community. These algal blooms can result in reduced levels of oxygen within the water, which in turn can lead to the death of many aquatic organisms including invertebrates and fish. </t>
  </si>
  <si>
    <t xml:space="preserve">The Wensum is a low gradient, groundwater dominated river originating in northwest Norfolk, flowing southeast to Norwich where it joins the River Yare. </t>
  </si>
  <si>
    <t xml:space="preserve">Intensive arable land-use dominates the landscape on the higher plateaus and valley sides, and grazing marsh, fen, reedbed, scrub and scattered woodland characterise the floodplain. </t>
  </si>
  <si>
    <t>The current river channel is the product of a long history of modification and management. Anthropogenic influences have had a dramatic effect on the ecology and hydrology of the River Wensum, in particular at sites up and downstream of mill structures, sites affected by excessive silt deposition, sites that are heavily maintained and sites that lack natural riparian vegetation.</t>
  </si>
  <si>
    <t>Regardless of this, the river supports over 100 species of plants, including three species of water-crowfoot. The river also supports white-clawed crayfish and populations of Desmoulin’s whorl snail, Brook lamprey and Bullhead.</t>
  </si>
  <si>
    <t>The habitats and species within the Wensum that result in designation as a SAC are referred to a ‘qualifying features.’ Not all of these qualifying features will be sensitive to changes in nutrients within the River Itchen. When completing an HRA involving nutrient neutrality, the Competent Authority (normally Local Planning Authority for developments) must identify and screen out qualifying features that are not sensitive to nutrients via a Habitats Regulations Assessment.  Developers will be asked to submit information to support this process.</t>
  </si>
  <si>
    <t xml:space="preserve">More detailed information on the qualifying features of the SAC and details of water quality data highlighting the current nutrient problems in the river are available in the Natural England River Wensum SAC evidence summary. </t>
  </si>
  <si>
    <r>
      <rPr>
        <b/>
        <i/>
        <sz val="8"/>
        <color theme="2" tint="-0.249977111117893"/>
        <rFont val="Calibri"/>
        <family val="2"/>
        <scheme val="minor"/>
      </rPr>
      <t>Image Source:</t>
    </r>
    <r>
      <rPr>
        <i/>
        <sz val="8"/>
        <color theme="2" tint="-0.249977111117893"/>
        <rFont val="Calibri"/>
        <family val="2"/>
        <scheme val="minor"/>
      </rPr>
      <t xml:space="preserve">
Gerry Balding
The River Wensum in Norwich looking towards Whitefriars' Bridge and St. James' Mill.</t>
    </r>
    <r>
      <rPr>
        <sz val="8"/>
        <color theme="2" tint="-0.249977111117893"/>
        <rFont val="Calibri"/>
        <family val="2"/>
        <scheme val="minor"/>
      </rPr>
      <t xml:space="preserve">
Copyright: © Gerry Balding 2010</t>
    </r>
  </si>
  <si>
    <t>Phosphorus export coefficient</t>
  </si>
  <si>
    <t xml:space="preserve">The first step in an HRA involving nutrient neutrality is understanding both whether a residential development will need mitigation to achieve nutrient neutrality and, if so, the amount of nutrients that require mitigating on an annual basis.  In order to understand the amount of nutrients a new residential development will create, a nutrient budget for the development is required.  </t>
  </si>
  <si>
    <t>1. General tips:</t>
  </si>
  <si>
    <t>2. Stage specific instructions:</t>
  </si>
  <si>
    <t>The average occupancy rate of the development will need to be entered. The default setting is the national occupancy rate of 2.4 people per dwelling/unit. Only change this value if there is sufficient evidence that the development will be different to the national average.</t>
  </si>
  <si>
    <t>The number of dwellings/units that will be in the development at the time of completion.</t>
  </si>
  <si>
    <t>3. Site specific data collection instructions:</t>
  </si>
  <si>
    <t xml:space="preserve">a) Go to this link:  </t>
  </si>
  <si>
    <t xml:space="preserve">a) Go to this link:   </t>
  </si>
  <si>
    <t>a) Go to this link:</t>
  </si>
  <si>
    <r>
      <t xml:space="preserve">Development Proposal </t>
    </r>
    <r>
      <rPr>
        <sz val="11"/>
        <rFont val="Arial"/>
        <family val="2"/>
      </rPr>
      <t>(dwellings/units)</t>
    </r>
    <r>
      <rPr>
        <b/>
        <sz val="11"/>
        <rFont val="Arial"/>
        <family val="2"/>
      </rPr>
      <t>:</t>
    </r>
  </si>
  <si>
    <t>The receiving WwTW that the development will drain to. If it is uncertain what WwTW the site will drain to, please find this information from your sewerage company before completing the calculator. If it is not feasable to connect to a WwTW and a septic tank or package treatment plant is being used, please select this option. Please be aware that if the total phosphorus (TP) final effluent concentrations (in mg/l) are specified by the manufacturer, please select 'Septic Tank user defined' or 'Package Treatment Plant user defined' and enter the manufacturer specified value in the cell where prompted.</t>
  </si>
  <si>
    <t xml:space="preserve">There have been a series of court cases in recent years relating to how new plans or projects interact with the Habitats Regulations process where there are existing high levels of background nutrients. These decisions have led Natural England to review its advice on water quality effects on Habitats sites.  </t>
  </si>
  <si>
    <t xml:space="preserve">The additional nutrient load from the increase in wastewater and/or the change in the land use of the development land created by a new residential development can create an impact pathway for potential negative effects on Habitats sites that are already suffering from problems related to nutrient loading. This impact pathway is shown diagrammatically in Figure 1.  </t>
  </si>
  <si>
    <t xml:space="preserve">Habitats Regulations Assessments (HRAs) of new residential developments need to consider whether nutrient loading will result in ‘Likely Significant Effects’ (LSE) on a Habitats site.  If an HRA finds LSE due to nutrient loading,  the Appropriate Assessment will need to consider whether this nutrient load needs to be mitigated in order to remove adverse effects on the Habitats site.  </t>
  </si>
  <si>
    <r>
      <t>This tool provides a step-by-step approach to calculating the nutrient budget for a new residential development.  Before a nutrient budget can be completed using the methodology, certain site-specific details for the Habitats Site in question need to be determined.  The required details for each stage of the nutrient budget methodology are shown in the instructions tab, with an associated guidance document that informs users of this calculator how to generate certain inputs to the calculator.</t>
    </r>
    <r>
      <rPr>
        <sz val="12"/>
        <color rgb="FF000000"/>
        <rFont val="Arial"/>
        <family val="2"/>
      </rPr>
      <t xml:space="preserve"> </t>
    </r>
  </si>
  <si>
    <t xml:space="preserve">The River Wensum SAC is a Habitats site with water pollution and eutrophication considered a threat to its condition.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</si>
</sst>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43" x14ac:knownFonts="1">
    <font>
      <sz val="11"/>
      <color theme="1"/>
      <name val="Calibri"/>
      <family val="2"/>
      <scheme val="minor"/>
    </font>
    <font>
      <sz val="11"/>
      <name val="Calibri"/>
      <family val="2"/>
      <scheme val="minor"/>
    </font>
    <font>
      <u/>
      <sz val="11"/>
      <color theme="10"/>
      <name val="Calibri"/>
      <family val="2"/>
      <scheme val="minor"/>
    </font>
    <font>
      <sz val="11"/>
      <color theme="1"/>
      <name val="Gill Sans MT"/>
      <family val="2"/>
    </font>
    <font>
      <b/>
      <sz val="11"/>
      <color theme="0"/>
      <name val="Gill Sans MT"/>
      <family val="2"/>
    </font>
    <font>
      <b/>
      <sz val="11"/>
      <color theme="1"/>
      <name val="Gill Sans MT"/>
      <family val="2"/>
    </font>
    <font>
      <b/>
      <sz val="11"/>
      <color theme="1"/>
      <name val="Calibri"/>
      <family val="2"/>
      <scheme val="minor"/>
    </font>
    <font>
      <sz val="11"/>
      <name val="Gill Sans MT"/>
      <family val="2"/>
    </font>
    <font>
      <b/>
      <sz val="11"/>
      <color theme="1"/>
      <name val="Arial"/>
      <family val="2"/>
    </font>
    <font>
      <b/>
      <sz val="11"/>
      <name val="Arial"/>
      <family val="2"/>
    </font>
    <font>
      <sz val="11"/>
      <name val="Arial"/>
      <family val="2"/>
    </font>
    <font>
      <sz val="11"/>
      <color theme="0"/>
      <name val="Gill Sans MT"/>
      <family val="2"/>
    </font>
    <font>
      <sz val="11"/>
      <color theme="1"/>
      <name val="Arial"/>
      <family val="2"/>
    </font>
    <font>
      <sz val="11"/>
      <color rgb="FF000000"/>
      <name val="Arial"/>
      <family val="2"/>
    </font>
    <font>
      <i/>
      <sz val="11"/>
      <color theme="1"/>
      <name val="Arial"/>
      <family val="2"/>
    </font>
    <font>
      <sz val="11"/>
      <color theme="1" tint="4.9989318521683403E-2"/>
      <name val="Arial"/>
      <family val="2"/>
    </font>
    <font>
      <b/>
      <sz val="11"/>
      <name val="Calibri"/>
      <family val="2"/>
      <scheme val="minor"/>
    </font>
    <font>
      <b/>
      <sz val="12"/>
      <color theme="1"/>
      <name val="Arial"/>
      <family val="2"/>
    </font>
    <font>
      <sz val="11"/>
      <color rgb="FF242424"/>
      <name val="Segoe UI"/>
      <family val="2"/>
    </font>
    <font>
      <sz val="11"/>
      <color theme="1" tint="0.14999847407452621"/>
      <name val="Calibri"/>
      <family val="2"/>
      <scheme val="minor"/>
    </font>
    <font>
      <sz val="11"/>
      <color theme="0"/>
      <name val="Calibri"/>
      <family val="2"/>
      <scheme val="minor"/>
    </font>
    <font>
      <b/>
      <sz val="14"/>
      <color theme="1"/>
      <name val="Arial"/>
      <family val="2"/>
    </font>
    <font>
      <b/>
      <sz val="11"/>
      <color theme="1"/>
      <name val="Century Gothic"/>
      <family val="2"/>
    </font>
    <font>
      <sz val="11"/>
      <color theme="1" tint="0.14999847407452621"/>
      <name val="Arial"/>
      <family val="2"/>
    </font>
    <font>
      <b/>
      <sz val="11"/>
      <color theme="1" tint="0.14999847407452621"/>
      <name val="Arial"/>
      <family val="2"/>
    </font>
    <font>
      <sz val="12"/>
      <color theme="1"/>
      <name val="Century Gothic"/>
      <family val="2"/>
    </font>
    <font>
      <sz val="8"/>
      <color theme="2" tint="-0.249977111117893"/>
      <name val="Calibri"/>
      <family val="2"/>
      <scheme val="minor"/>
    </font>
    <font>
      <b/>
      <i/>
      <sz val="8"/>
      <color theme="2" tint="-0.249977111117893"/>
      <name val="Calibri"/>
      <family val="2"/>
      <scheme val="minor"/>
    </font>
    <font>
      <i/>
      <sz val="8"/>
      <color theme="2" tint="-0.249977111117893"/>
      <name val="Calibri"/>
      <family val="2"/>
      <scheme val="minor"/>
    </font>
    <font>
      <sz val="8"/>
      <name val="Calibri"/>
      <family val="2"/>
      <scheme val="minor"/>
    </font>
    <font>
      <b/>
      <u/>
      <sz val="14"/>
      <color rgb="FF000000"/>
      <name val="Arial"/>
      <family val="2"/>
    </font>
    <font>
      <b/>
      <sz val="11"/>
      <color rgb="FF000000"/>
      <name val="Arial"/>
      <family val="2"/>
    </font>
    <font>
      <u/>
      <sz val="11"/>
      <color theme="10"/>
      <name val="Arial"/>
      <family val="2"/>
    </font>
    <font>
      <b/>
      <sz val="18"/>
      <color theme="0"/>
      <name val="Century Gothic"/>
      <family val="2"/>
    </font>
    <font>
      <sz val="12"/>
      <color rgb="FF000000"/>
      <name val="Arial"/>
      <family val="2"/>
    </font>
    <font>
      <b/>
      <sz val="14"/>
      <color theme="1"/>
      <name val="Century Gothic"/>
      <family val="2"/>
    </font>
    <font>
      <b/>
      <sz val="24"/>
      <color theme="0"/>
      <name val="Century Gothic"/>
      <family val="2"/>
    </font>
    <font>
      <sz val="24"/>
      <color theme="0"/>
      <name val="Century Gothic"/>
      <family val="2"/>
    </font>
    <font>
      <sz val="11"/>
      <color theme="6" tint="0.79998168889431442"/>
      <name val="Calibri"/>
      <family val="2"/>
      <scheme val="minor"/>
    </font>
    <font>
      <sz val="11"/>
      <color theme="6" tint="0.79998168889431442"/>
      <name val="Gill Sans MT"/>
      <family val="2"/>
    </font>
    <font>
      <b/>
      <sz val="11"/>
      <color rgb="FFFF0000"/>
      <name val="Arial"/>
      <family val="2"/>
    </font>
    <font>
      <b/>
      <sz val="24"/>
      <color theme="0"/>
      <name val="Arial"/>
      <family val="2"/>
    </font>
    <font>
      <u/>
      <sz val="11"/>
      <color theme="10"/>
      <name val="Segoe UI"/>
      <family val="2"/>
    </font>
  </fonts>
  <fills count="7">
    <fill>
      <patternFill patternType="none"/>
    </fill>
    <fill>
      <patternFill patternType="gray125"/>
    </fill>
    <fill>
      <patternFill patternType="solid">
        <fgColor theme="0"/>
        <bgColor indexed="64"/>
      </patternFill>
    </fill>
    <fill>
      <patternFill patternType="solid">
        <fgColor rgb="FF9DD3BE"/>
        <bgColor indexed="64"/>
      </patternFill>
    </fill>
    <fill>
      <patternFill patternType="solid">
        <fgColor rgb="FFF7E8BE"/>
        <bgColor indexed="64"/>
      </patternFill>
    </fill>
    <fill>
      <patternFill patternType="solid">
        <fgColor theme="6" tint="0.79998168889431442"/>
        <bgColor indexed="64"/>
      </patternFill>
    </fill>
    <fill>
      <patternFill patternType="solid">
        <fgColor rgb="FF449669"/>
        <bgColor indexed="64"/>
      </patternFill>
    </fill>
  </fills>
  <borders count="25">
    <border>
      <left/>
      <right/>
      <top/>
      <bottom/>
      <diagonal/>
    </border>
    <border>
      <left/>
      <right/>
      <top/>
      <bottom style="thick">
        <color rgb="FF449669"/>
      </bottom>
      <diagonal/>
    </border>
    <border>
      <left/>
      <right style="thick">
        <color rgb="FF449669"/>
      </right>
      <top/>
      <bottom/>
      <diagonal/>
    </border>
    <border>
      <left/>
      <right style="thick">
        <color rgb="FF449669"/>
      </right>
      <top/>
      <bottom style="thick">
        <color rgb="FF449669"/>
      </bottom>
      <diagonal/>
    </border>
    <border>
      <left/>
      <right/>
      <top style="thick">
        <color rgb="FF449669"/>
      </top>
      <bottom style="thick">
        <color rgb="FF449669"/>
      </bottom>
      <diagonal/>
    </border>
    <border>
      <left style="thick">
        <color rgb="FF449669"/>
      </left>
      <right style="thick">
        <color rgb="FF449669"/>
      </right>
      <top/>
      <bottom/>
      <diagonal/>
    </border>
    <border>
      <left style="thick">
        <color rgb="FF449669"/>
      </left>
      <right style="thick">
        <color rgb="FF449669"/>
      </right>
      <top/>
      <bottom style="thick">
        <color rgb="FF449669"/>
      </bottom>
      <diagonal/>
    </border>
    <border>
      <left/>
      <right/>
      <top style="thick">
        <color rgb="FF449669"/>
      </top>
      <bottom/>
      <diagonal/>
    </border>
    <border>
      <left style="thick">
        <color rgb="FF449669"/>
      </left>
      <right/>
      <top style="thick">
        <color rgb="FF449669"/>
      </top>
      <bottom/>
      <diagonal/>
    </border>
    <border>
      <left/>
      <right style="thick">
        <color rgb="FF449669"/>
      </right>
      <top style="thick">
        <color rgb="FF449669"/>
      </top>
      <bottom/>
      <diagonal/>
    </border>
    <border>
      <left style="thick">
        <color rgb="FF449669"/>
      </left>
      <right/>
      <top/>
      <bottom/>
      <diagonal/>
    </border>
    <border>
      <left style="thick">
        <color rgb="FF449669"/>
      </left>
      <right/>
      <top/>
      <bottom style="thick">
        <color rgb="FF449669"/>
      </bottom>
      <diagonal/>
    </border>
    <border>
      <left/>
      <right/>
      <top/>
      <bottom style="medium">
        <color rgb="FF449669"/>
      </bottom>
      <diagonal/>
    </border>
    <border>
      <left/>
      <right/>
      <top style="medium">
        <color rgb="FF449669"/>
      </top>
      <bottom/>
      <diagonal/>
    </border>
    <border>
      <left/>
      <right/>
      <top style="medium">
        <color rgb="FF449669"/>
      </top>
      <bottom style="medium">
        <color rgb="FF449669"/>
      </bottom>
      <diagonal/>
    </border>
    <border>
      <left/>
      <right style="medium">
        <color rgb="FF449669"/>
      </right>
      <top/>
      <bottom/>
      <diagonal/>
    </border>
    <border>
      <left style="medium">
        <color rgb="FF449669"/>
      </left>
      <right style="medium">
        <color rgb="FF449669"/>
      </right>
      <top/>
      <bottom/>
      <diagonal/>
    </border>
    <border>
      <left/>
      <right style="medium">
        <color rgb="FF449669"/>
      </right>
      <top/>
      <bottom style="medium">
        <color rgb="FF449669"/>
      </bottom>
      <diagonal/>
    </border>
    <border>
      <left style="medium">
        <color rgb="FF449669"/>
      </left>
      <right style="medium">
        <color rgb="FF449669"/>
      </right>
      <top/>
      <bottom style="medium">
        <color rgb="FF449669"/>
      </bottom>
      <diagonal/>
    </border>
    <border>
      <left/>
      <right style="medium">
        <color rgb="FF449669"/>
      </right>
      <top style="medium">
        <color rgb="FF449669"/>
      </top>
      <bottom/>
      <diagonal/>
    </border>
    <border>
      <left style="medium">
        <color rgb="FF449669"/>
      </left>
      <right/>
      <top/>
      <bottom/>
      <diagonal/>
    </border>
    <border>
      <left style="medium">
        <color rgb="FF449669"/>
      </left>
      <right style="medium">
        <color rgb="FF449669"/>
      </right>
      <top style="medium">
        <color rgb="FF449669"/>
      </top>
      <bottom/>
      <diagonal/>
    </border>
    <border>
      <left style="medium">
        <color indexed="64"/>
      </left>
      <right style="thick">
        <color rgb="FF449669"/>
      </right>
      <top/>
      <bottom/>
      <diagonal/>
    </border>
    <border>
      <left style="medium">
        <color rgb="FF449669"/>
      </left>
      <right/>
      <top/>
      <bottom style="medium">
        <color rgb="FF449669"/>
      </bottom>
      <diagonal/>
    </border>
    <border>
      <left style="medium">
        <color rgb="FF449669"/>
      </left>
      <right/>
      <top style="medium">
        <color rgb="FF449669"/>
      </top>
      <bottom/>
      <diagonal/>
    </border>
  </borders>
  <cellStyleXfs count="2">
    <xf numFmtId="0" fontId="0" fillId="0" borderId="0"/>
    <xf numFmtId="0" fontId="2" fillId="0" borderId="0" applyNumberFormat="0" applyFill="0" applyBorder="0" applyAlignment="0" applyProtection="0"/>
  </cellStyleXfs>
  <cellXfs count="302">
    <xf numFmtId="0" fontId="0" fillId="0" borderId="0" xfId="0"/>
    <xf numFmtId="0" fontId="0" fillId="2" borderId="0" xfId="0" applyFill="1"/>
    <xf numFmtId="0" fontId="1" fillId="2" borderId="0" xfId="0" applyFont="1" applyFill="1"/>
    <xf numFmtId="0" fontId="3" fillId="2" borderId="0" xfId="0" applyFont="1" applyFill="1" applyBorder="1" applyAlignment="1">
      <alignment horizontal="left"/>
    </xf>
    <xf numFmtId="0" fontId="0" fillId="2" borderId="0" xfId="0" applyFill="1" applyBorder="1"/>
    <xf numFmtId="0" fontId="4" fillId="2" borderId="0" xfId="0" applyFont="1" applyFill="1" applyBorder="1" applyAlignment="1">
      <alignment horizontal="left"/>
    </xf>
    <xf numFmtId="0" fontId="5" fillId="2" borderId="0" xfId="0" applyFont="1" applyFill="1" applyBorder="1" applyAlignment="1">
      <alignment horizontal="left"/>
    </xf>
    <xf numFmtId="14" fontId="3" fillId="2" borderId="0" xfId="0" applyNumberFormat="1" applyFont="1" applyFill="1" applyBorder="1" applyAlignment="1">
      <alignment vertical="center" wrapText="1"/>
    </xf>
    <xf numFmtId="0" fontId="3" fillId="2" borderId="0" xfId="0" applyFont="1" applyFill="1" applyBorder="1" applyAlignment="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5" fillId="2" borderId="0" xfId="0" applyFont="1" applyFill="1" applyBorder="1" applyAlignment="1">
      <alignment horizontal="left" vertical="center"/>
    </xf>
    <xf numFmtId="0" fontId="3" fillId="2" borderId="0" xfId="0" applyFont="1" applyFill="1" applyBorder="1" applyAlignment="1">
      <alignment horizontal="center" vertical="center"/>
    </xf>
    <xf numFmtId="2" fontId="3" fillId="2" borderId="0" xfId="0" applyNumberFormat="1" applyFont="1" applyFill="1" applyBorder="1" applyAlignment="1">
      <alignment horizontal="center" vertical="center"/>
    </xf>
    <xf numFmtId="2" fontId="5" fillId="2" borderId="0" xfId="0" applyNumberFormat="1" applyFont="1" applyFill="1" applyBorder="1" applyAlignment="1">
      <alignment horizontal="center" vertical="center"/>
    </xf>
    <xf numFmtId="0" fontId="8" fillId="2" borderId="1" xfId="0" applyFont="1" applyFill="1" applyBorder="1"/>
    <xf numFmtId="0" fontId="9" fillId="2" borderId="0"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7" xfId="0" applyFont="1" applyFill="1" applyBorder="1" applyAlignment="1">
      <alignment horizontal="left" vertical="center" wrapText="1"/>
    </xf>
    <xf numFmtId="2" fontId="12" fillId="2" borderId="0" xfId="0" applyNumberFormat="1" applyFont="1" applyFill="1" applyBorder="1" applyAlignment="1">
      <alignment horizontal="center" vertical="center"/>
    </xf>
    <xf numFmtId="0" fontId="8" fillId="2" borderId="0" xfId="0" applyFont="1" applyFill="1" applyBorder="1" applyAlignment="1">
      <alignment horizontal="left" vertical="center"/>
    </xf>
    <xf numFmtId="2" fontId="8" fillId="2" borderId="0" xfId="0" applyNumberFormat="1" applyFont="1" applyFill="1" applyBorder="1" applyAlignment="1">
      <alignment horizontal="center" vertical="center"/>
    </xf>
    <xf numFmtId="0" fontId="12" fillId="2" borderId="0" xfId="0" applyFont="1" applyFill="1"/>
    <xf numFmtId="2" fontId="12" fillId="4" borderId="1" xfId="0" applyNumberFormat="1" applyFont="1" applyFill="1" applyBorder="1" applyAlignment="1">
      <alignment horizontal="left" vertical="center" wrapText="1"/>
    </xf>
    <xf numFmtId="14" fontId="12" fillId="2" borderId="0" xfId="0" applyNumberFormat="1" applyFont="1" applyFill="1" applyBorder="1" applyAlignment="1">
      <alignment vertical="center" wrapText="1"/>
    </xf>
    <xf numFmtId="0" fontId="12" fillId="2" borderId="0" xfId="0" applyFont="1" applyFill="1" applyBorder="1" applyAlignment="1">
      <alignment vertical="center"/>
    </xf>
    <xf numFmtId="0" fontId="12" fillId="2" borderId="0" xfId="0" applyFont="1" applyFill="1" applyBorder="1" applyAlignment="1">
      <alignment vertical="center" wrapText="1"/>
    </xf>
    <xf numFmtId="0" fontId="12" fillId="2" borderId="0" xfId="0" applyFont="1" applyFill="1" applyBorder="1" applyAlignment="1">
      <alignment horizontal="left" vertical="center"/>
    </xf>
    <xf numFmtId="2" fontId="12" fillId="2" borderId="0" xfId="0" applyNumberFormat="1" applyFont="1" applyFill="1" applyBorder="1" applyAlignment="1">
      <alignment horizontal="left" vertical="center"/>
    </xf>
    <xf numFmtId="0" fontId="12" fillId="2" borderId="0" xfId="0" applyFont="1" applyFill="1" applyBorder="1"/>
    <xf numFmtId="0" fontId="10" fillId="2" borderId="0" xfId="0" applyFont="1" applyFill="1" applyBorder="1" applyAlignment="1">
      <alignment horizontal="left" vertical="center"/>
    </xf>
    <xf numFmtId="0" fontId="9" fillId="2" borderId="0" xfId="0" applyFont="1" applyFill="1" applyBorder="1" applyAlignment="1">
      <alignment horizontal="left" vertical="center" wrapText="1"/>
    </xf>
    <xf numFmtId="0" fontId="12" fillId="5" borderId="0" xfId="0" applyFont="1" applyFill="1"/>
    <xf numFmtId="0" fontId="9" fillId="5" borderId="6" xfId="0" applyFont="1" applyFill="1" applyBorder="1" applyAlignment="1">
      <alignment horizontal="left" vertical="center"/>
    </xf>
    <xf numFmtId="0" fontId="9" fillId="5" borderId="3" xfId="0" applyFont="1" applyFill="1" applyBorder="1" applyAlignment="1">
      <alignment horizontal="left" vertical="center"/>
    </xf>
    <xf numFmtId="0" fontId="9" fillId="5" borderId="3" xfId="0" applyFont="1" applyFill="1" applyBorder="1" applyAlignment="1">
      <alignment horizontal="left" vertical="center" wrapText="1"/>
    </xf>
    <xf numFmtId="0" fontId="12" fillId="5" borderId="2" xfId="0" applyFont="1" applyFill="1" applyBorder="1" applyAlignment="1">
      <alignment horizontal="left" vertical="center"/>
    </xf>
    <xf numFmtId="2" fontId="12" fillId="5" borderId="0" xfId="0" applyNumberFormat="1" applyFont="1" applyFill="1" applyBorder="1" applyAlignment="1">
      <alignment horizontal="left" vertical="center"/>
    </xf>
    <xf numFmtId="0" fontId="8" fillId="5" borderId="1" xfId="0" applyFont="1" applyFill="1" applyBorder="1" applyAlignment="1">
      <alignment horizontal="left" vertical="center"/>
    </xf>
    <xf numFmtId="0" fontId="12" fillId="5" borderId="7" xfId="0" applyFont="1" applyFill="1" applyBorder="1" applyAlignment="1">
      <alignment horizontal="left" vertical="center"/>
    </xf>
    <xf numFmtId="0" fontId="12" fillId="5" borderId="0" xfId="0" applyFont="1" applyFill="1" applyBorder="1" applyAlignment="1">
      <alignment horizontal="left" vertical="center"/>
    </xf>
    <xf numFmtId="0" fontId="13" fillId="5" borderId="0" xfId="0" applyFont="1" applyFill="1" applyBorder="1" applyAlignment="1">
      <alignment horizontal="left" vertical="center"/>
    </xf>
    <xf numFmtId="0" fontId="12" fillId="5" borderId="0" xfId="0" applyFont="1" applyFill="1" applyBorder="1"/>
    <xf numFmtId="0" fontId="9" fillId="5" borderId="11" xfId="0" applyFont="1" applyFill="1" applyBorder="1" applyAlignment="1">
      <alignment horizontal="left" vertical="center" wrapText="1"/>
    </xf>
    <xf numFmtId="0" fontId="12" fillId="5" borderId="10" xfId="0" applyFont="1" applyFill="1" applyBorder="1" applyAlignment="1">
      <alignment horizontal="left" vertical="center"/>
    </xf>
    <xf numFmtId="0" fontId="9" fillId="5" borderId="11" xfId="0" applyFont="1" applyFill="1" applyBorder="1" applyAlignment="1">
      <alignment horizontal="left" vertical="center"/>
    </xf>
    <xf numFmtId="49" fontId="12" fillId="5" borderId="2" xfId="0" applyNumberFormat="1" applyFont="1" applyFill="1" applyBorder="1" applyAlignment="1">
      <alignment horizontal="left" vertical="center"/>
    </xf>
    <xf numFmtId="0" fontId="12" fillId="5" borderId="5" xfId="0" applyFont="1" applyFill="1" applyBorder="1" applyAlignment="1">
      <alignment horizontal="left" vertical="center"/>
    </xf>
    <xf numFmtId="0" fontId="9" fillId="5" borderId="6" xfId="0" applyFont="1" applyFill="1" applyBorder="1" applyAlignment="1">
      <alignment horizontal="left" vertical="center" wrapText="1"/>
    </xf>
    <xf numFmtId="0" fontId="10" fillId="5" borderId="2" xfId="0" applyFont="1" applyFill="1" applyBorder="1" applyAlignment="1">
      <alignment horizontal="left" vertical="center"/>
    </xf>
    <xf numFmtId="2" fontId="12" fillId="5" borderId="2" xfId="0" applyNumberFormat="1" applyFont="1" applyFill="1" applyBorder="1" applyAlignment="1">
      <alignment horizontal="left" vertical="center"/>
    </xf>
    <xf numFmtId="0" fontId="10" fillId="5" borderId="5" xfId="0" applyFont="1" applyFill="1" applyBorder="1" applyAlignment="1">
      <alignment horizontal="left" vertical="center"/>
    </xf>
    <xf numFmtId="2" fontId="10" fillId="4" borderId="1" xfId="0" applyNumberFormat="1" applyFont="1" applyFill="1" applyBorder="1" applyAlignment="1">
      <alignment horizontal="left" vertical="center"/>
    </xf>
    <xf numFmtId="2" fontId="12" fillId="4" borderId="4" xfId="0" applyNumberFormat="1" applyFont="1" applyFill="1" applyBorder="1" applyAlignment="1">
      <alignment horizontal="left" vertical="center"/>
    </xf>
    <xf numFmtId="2" fontId="12" fillId="4" borderId="7" xfId="0" applyNumberFormat="1" applyFont="1" applyFill="1" applyBorder="1" applyAlignment="1">
      <alignment horizontal="left" vertical="center" wrapText="1"/>
    </xf>
    <xf numFmtId="2" fontId="8" fillId="2" borderId="0" xfId="0" applyNumberFormat="1" applyFont="1" applyFill="1" applyAlignment="1">
      <alignment vertical="center"/>
    </xf>
    <xf numFmtId="0" fontId="16" fillId="2" borderId="0" xfId="0" applyFont="1" applyFill="1" applyBorder="1" applyAlignment="1">
      <alignment horizontal="left" vertical="center" wrapText="1"/>
    </xf>
    <xf numFmtId="0" fontId="12" fillId="4" borderId="0" xfId="0" applyFont="1" applyFill="1" applyBorder="1" applyAlignment="1">
      <alignment horizontal="center" vertical="center"/>
    </xf>
    <xf numFmtId="0" fontId="12" fillId="2" borderId="12" xfId="0" applyFont="1" applyFill="1" applyBorder="1" applyAlignment="1">
      <alignment horizontal="left" vertical="center"/>
    </xf>
    <xf numFmtId="0" fontId="12" fillId="4" borderId="12" xfId="0" applyFont="1" applyFill="1" applyBorder="1" applyAlignment="1">
      <alignment horizontal="center" vertical="center"/>
    </xf>
    <xf numFmtId="0" fontId="12" fillId="2" borderId="13" xfId="0" applyFont="1" applyFill="1" applyBorder="1" applyAlignment="1">
      <alignment horizontal="left" vertical="center"/>
    </xf>
    <xf numFmtId="0" fontId="8" fillId="2" borderId="13" xfId="0" applyFont="1" applyFill="1" applyBorder="1" applyAlignment="1">
      <alignment horizontal="left" vertical="center"/>
    </xf>
    <xf numFmtId="2" fontId="12" fillId="4" borderId="13" xfId="0" applyNumberFormat="1" applyFont="1" applyFill="1" applyBorder="1" applyAlignment="1">
      <alignment horizontal="center" vertical="center"/>
    </xf>
    <xf numFmtId="2" fontId="8" fillId="4" borderId="13" xfId="0" applyNumberFormat="1" applyFont="1" applyFill="1" applyBorder="1" applyAlignment="1">
      <alignment horizontal="center" vertical="center"/>
    </xf>
    <xf numFmtId="0" fontId="12" fillId="2" borderId="14" xfId="0" applyFont="1" applyFill="1" applyBorder="1" applyAlignment="1">
      <alignment horizontal="left" vertical="center"/>
    </xf>
    <xf numFmtId="0" fontId="12" fillId="4" borderId="14" xfId="0" applyFont="1" applyFill="1" applyBorder="1" applyAlignment="1">
      <alignment horizontal="center" vertical="center"/>
    </xf>
    <xf numFmtId="2" fontId="12" fillId="4" borderId="14" xfId="0" applyNumberFormat="1" applyFont="1" applyFill="1" applyBorder="1" applyAlignment="1">
      <alignment horizontal="center" vertical="center"/>
    </xf>
    <xf numFmtId="0" fontId="9" fillId="2" borderId="13"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8" fillId="2" borderId="12" xfId="0" applyFont="1" applyFill="1" applyBorder="1"/>
    <xf numFmtId="0" fontId="9" fillId="2" borderId="14"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8" fillId="2" borderId="15" xfId="0" applyFont="1" applyFill="1" applyBorder="1" applyAlignment="1">
      <alignment horizontal="right"/>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9" xfId="0" applyFont="1" applyFill="1" applyBorder="1" applyAlignment="1">
      <alignment horizontal="right"/>
    </xf>
    <xf numFmtId="0" fontId="8" fillId="2" borderId="17" xfId="0" applyFont="1" applyFill="1" applyBorder="1" applyAlignment="1">
      <alignment horizontal="left" vertical="center"/>
    </xf>
    <xf numFmtId="2" fontId="8" fillId="4" borderId="0" xfId="0" applyNumberFormat="1" applyFont="1" applyFill="1" applyBorder="1" applyAlignment="1">
      <alignment horizontal="left"/>
    </xf>
    <xf numFmtId="2" fontId="8" fillId="4" borderId="12" xfId="0" applyNumberFormat="1" applyFont="1" applyFill="1" applyBorder="1" applyAlignment="1">
      <alignment horizontal="left"/>
    </xf>
    <xf numFmtId="0" fontId="12" fillId="4" borderId="0" xfId="0" applyFont="1" applyFill="1" applyBorder="1" applyAlignment="1">
      <alignment horizontal="center" vertical="center" wrapText="1"/>
    </xf>
    <xf numFmtId="0" fontId="21" fillId="2" borderId="0" xfId="0" applyFont="1" applyFill="1" applyBorder="1" applyAlignment="1">
      <alignment vertical="center" wrapText="1"/>
    </xf>
    <xf numFmtId="14" fontId="8" fillId="2" borderId="0" xfId="0" applyNumberFormat="1" applyFont="1" applyFill="1" applyBorder="1" applyAlignment="1">
      <alignment vertical="center" wrapText="1"/>
    </xf>
    <xf numFmtId="0" fontId="8" fillId="2" borderId="0" xfId="0" applyFont="1" applyFill="1" applyBorder="1" applyAlignment="1">
      <alignment vertical="center" wrapText="1"/>
    </xf>
    <xf numFmtId="0" fontId="7" fillId="2" borderId="0" xfId="0" applyFont="1" applyFill="1" applyBorder="1" applyAlignment="1">
      <alignment horizontal="center" vertical="center" wrapText="1"/>
    </xf>
    <xf numFmtId="0" fontId="0" fillId="2" borderId="0" xfId="0" applyFill="1" applyAlignment="1">
      <alignment horizontal="left"/>
    </xf>
    <xf numFmtId="2" fontId="8" fillId="2" borderId="0" xfId="0" applyNumberFormat="1" applyFont="1" applyFill="1" applyBorder="1" applyAlignment="1">
      <alignment horizontal="left" vertical="center"/>
    </xf>
    <xf numFmtId="2" fontId="12" fillId="4" borderId="12" xfId="0" applyNumberFormat="1" applyFont="1" applyFill="1" applyBorder="1" applyAlignment="1">
      <alignment horizontal="center" vertical="center"/>
    </xf>
    <xf numFmtId="0" fontId="19" fillId="2" borderId="0" xfId="0" applyFont="1" applyFill="1" applyBorder="1"/>
    <xf numFmtId="0" fontId="19" fillId="2" borderId="0" xfId="0" applyFont="1" applyFill="1" applyBorder="1" applyAlignment="1">
      <alignment horizontal="left"/>
    </xf>
    <xf numFmtId="0" fontId="23" fillId="2" borderId="0" xfId="0" applyFont="1" applyFill="1" applyBorder="1" applyAlignment="1">
      <alignment horizontal="left" vertical="center"/>
    </xf>
    <xf numFmtId="2" fontId="23" fillId="2" borderId="0" xfId="0" applyNumberFormat="1" applyFont="1" applyFill="1" applyBorder="1" applyAlignment="1">
      <alignment horizontal="left" vertical="center"/>
    </xf>
    <xf numFmtId="0" fontId="24" fillId="2" borderId="0" xfId="0" applyFont="1" applyFill="1" applyBorder="1" applyAlignment="1">
      <alignment horizontal="left" vertical="center"/>
    </xf>
    <xf numFmtId="2" fontId="24" fillId="2" borderId="0" xfId="0" applyNumberFormat="1" applyFont="1" applyFill="1" applyBorder="1" applyAlignment="1">
      <alignment horizontal="left" vertical="center"/>
    </xf>
    <xf numFmtId="0" fontId="23" fillId="2" borderId="0" xfId="0" applyFont="1" applyFill="1" applyBorder="1" applyAlignment="1">
      <alignment horizontal="center" vertical="center"/>
    </xf>
    <xf numFmtId="2" fontId="23" fillId="2" borderId="0" xfId="0" applyNumberFormat="1" applyFont="1" applyFill="1" applyBorder="1" applyAlignment="1">
      <alignment horizontal="center" vertical="center"/>
    </xf>
    <xf numFmtId="2" fontId="24" fillId="2" borderId="0" xfId="0" applyNumberFormat="1" applyFont="1" applyFill="1" applyBorder="1" applyAlignment="1">
      <alignment horizontal="center" vertical="center"/>
    </xf>
    <xf numFmtId="2" fontId="10" fillId="4" borderId="12" xfId="0" applyNumberFormat="1" applyFont="1" applyFill="1" applyBorder="1" applyAlignment="1">
      <alignment horizontal="center" vertical="center"/>
    </xf>
    <xf numFmtId="2" fontId="12" fillId="4" borderId="14" xfId="0" quotePrefix="1" applyNumberFormat="1" applyFont="1" applyFill="1" applyBorder="1" applyAlignment="1">
      <alignment horizontal="center" vertical="center" wrapText="1"/>
    </xf>
    <xf numFmtId="2" fontId="12" fillId="4" borderId="0" xfId="0" applyNumberFormat="1" applyFont="1" applyFill="1" applyBorder="1" applyAlignment="1">
      <alignment horizontal="center" vertical="center" wrapText="1"/>
    </xf>
    <xf numFmtId="2" fontId="12" fillId="4" borderId="14" xfId="0" applyNumberFormat="1" applyFont="1" applyFill="1" applyBorder="1" applyAlignment="1">
      <alignment horizontal="center" vertical="center" wrapText="1"/>
    </xf>
    <xf numFmtId="2" fontId="8" fillId="2" borderId="0" xfId="0" applyNumberFormat="1" applyFont="1" applyFill="1" applyBorder="1" applyAlignment="1">
      <alignment vertical="center"/>
    </xf>
    <xf numFmtId="0" fontId="8" fillId="4" borderId="16" xfId="0" applyFont="1" applyFill="1" applyBorder="1" applyAlignment="1">
      <alignment horizontal="right"/>
    </xf>
    <xf numFmtId="2" fontId="8" fillId="4" borderId="0" xfId="0" applyNumberFormat="1" applyFont="1" applyFill="1" applyAlignment="1">
      <alignment horizontal="right"/>
    </xf>
    <xf numFmtId="0" fontId="26" fillId="2" borderId="0" xfId="0" applyFont="1" applyFill="1" applyAlignment="1">
      <alignment wrapText="1"/>
    </xf>
    <xf numFmtId="14" fontId="15" fillId="3" borderId="12" xfId="0" applyNumberFormat="1" applyFont="1" applyFill="1" applyBorder="1" applyAlignment="1" applyProtection="1">
      <alignment horizontal="left" vertical="center"/>
      <protection locked="0"/>
    </xf>
    <xf numFmtId="2" fontId="15" fillId="3" borderId="14" xfId="0" applyNumberFormat="1" applyFont="1" applyFill="1" applyBorder="1" applyAlignment="1" applyProtection="1">
      <alignment horizontal="left" vertical="center" wrapText="1"/>
      <protection locked="0"/>
    </xf>
    <xf numFmtId="0" fontId="15" fillId="3" borderId="14" xfId="0" applyFont="1" applyFill="1" applyBorder="1" applyAlignment="1" applyProtection="1">
      <alignment horizontal="left" vertical="center"/>
      <protection locked="0"/>
    </xf>
    <xf numFmtId="0" fontId="15" fillId="3" borderId="0" xfId="0" applyFont="1" applyFill="1" applyBorder="1" applyAlignment="1" applyProtection="1">
      <alignment horizontal="left" vertical="center"/>
      <protection locked="0"/>
    </xf>
    <xf numFmtId="0" fontId="12" fillId="3" borderId="15" xfId="0" applyFont="1" applyFill="1" applyBorder="1" applyAlignment="1" applyProtection="1">
      <alignment horizontal="left"/>
      <protection locked="0"/>
    </xf>
    <xf numFmtId="2" fontId="12" fillId="3" borderId="16" xfId="0" applyNumberFormat="1" applyFont="1" applyFill="1" applyBorder="1" applyAlignment="1" applyProtection="1">
      <alignment horizontal="left"/>
      <protection locked="0"/>
    </xf>
    <xf numFmtId="2" fontId="12" fillId="3" borderId="18" xfId="0" applyNumberFormat="1" applyFont="1" applyFill="1" applyBorder="1" applyAlignment="1" applyProtection="1">
      <alignment horizontal="left"/>
      <protection locked="0"/>
    </xf>
    <xf numFmtId="14" fontId="10" fillId="3" borderId="12" xfId="0" applyNumberFormat="1" applyFont="1" applyFill="1" applyBorder="1" applyAlignment="1" applyProtection="1">
      <alignment horizontal="center" vertical="center"/>
      <protection locked="0"/>
    </xf>
    <xf numFmtId="2"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wrapText="1"/>
      <protection locked="0"/>
    </xf>
    <xf numFmtId="0" fontId="12" fillId="3" borderId="14" xfId="0" applyFont="1" applyFill="1" applyBorder="1" applyAlignment="1" applyProtection="1">
      <alignment horizontal="center" vertical="center" wrapText="1"/>
      <protection locked="0"/>
    </xf>
    <xf numFmtId="0" fontId="7" fillId="2" borderId="0" xfId="0" applyFont="1" applyFill="1" applyBorder="1" applyAlignment="1" applyProtection="1">
      <alignment vertical="center" wrapText="1"/>
      <protection locked="0"/>
    </xf>
    <xf numFmtId="2" fontId="10" fillId="3" borderId="15" xfId="0" applyNumberFormat="1" applyFont="1" applyFill="1" applyBorder="1" applyAlignment="1" applyProtection="1">
      <alignment horizontal="left"/>
      <protection locked="0"/>
    </xf>
    <xf numFmtId="2" fontId="10" fillId="3" borderId="15" xfId="0" applyNumberFormat="1" applyFont="1" applyFill="1" applyBorder="1" applyAlignment="1" applyProtection="1">
      <alignment horizontal="left" vertical="center"/>
      <protection locked="0"/>
    </xf>
    <xf numFmtId="2" fontId="9" fillId="3" borderId="15" xfId="0" applyNumberFormat="1" applyFont="1" applyFill="1" applyBorder="1" applyAlignment="1" applyProtection="1">
      <alignment horizontal="left" vertical="center"/>
      <protection locked="0"/>
    </xf>
    <xf numFmtId="0" fontId="12" fillId="3" borderId="17" xfId="0" applyFont="1" applyFill="1" applyBorder="1" applyAlignment="1" applyProtection="1">
      <alignment horizontal="left"/>
      <protection locked="0"/>
    </xf>
    <xf numFmtId="2" fontId="10" fillId="3" borderId="17" xfId="0" applyNumberFormat="1" applyFont="1" applyFill="1" applyBorder="1" applyAlignment="1" applyProtection="1">
      <alignment horizontal="left"/>
      <protection locked="0"/>
    </xf>
    <xf numFmtId="2" fontId="12" fillId="4" borderId="12" xfId="0" applyNumberFormat="1" applyFont="1" applyFill="1" applyBorder="1" applyAlignment="1">
      <alignment horizontal="left"/>
    </xf>
    <xf numFmtId="0" fontId="9" fillId="2" borderId="0"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0" fillId="2" borderId="2" xfId="0" applyFill="1" applyBorder="1"/>
    <xf numFmtId="0" fontId="30" fillId="0" borderId="0" xfId="0" applyFont="1" applyAlignment="1">
      <alignment horizontal="left" vertical="top" indent="2"/>
    </xf>
    <xf numFmtId="0" fontId="12" fillId="2" borderId="11" xfId="0" applyFont="1" applyFill="1" applyBorder="1" applyAlignment="1">
      <alignment horizontal="left" vertical="top" indent="2"/>
    </xf>
    <xf numFmtId="0" fontId="12" fillId="2" borderId="1" xfId="0" applyFont="1" applyFill="1" applyBorder="1" applyAlignment="1">
      <alignment horizontal="left" vertical="top" indent="2"/>
    </xf>
    <xf numFmtId="0" fontId="8" fillId="2" borderId="10" xfId="0" applyFont="1" applyFill="1" applyBorder="1" applyAlignment="1">
      <alignment horizontal="left" vertical="top" indent="2"/>
    </xf>
    <xf numFmtId="0" fontId="30" fillId="0" borderId="0" xfId="0" applyFont="1" applyAlignment="1">
      <alignment horizontal="left" vertical="center" indent="2"/>
    </xf>
    <xf numFmtId="0" fontId="31" fillId="0" borderId="0" xfId="0" applyFont="1" applyAlignment="1">
      <alignment horizontal="left" vertical="top"/>
    </xf>
    <xf numFmtId="2" fontId="12" fillId="5" borderId="5" xfId="0" applyNumberFormat="1" applyFont="1" applyFill="1" applyBorder="1" applyAlignment="1">
      <alignment horizontal="left" vertical="center"/>
    </xf>
    <xf numFmtId="0" fontId="8" fillId="4" borderId="15" xfId="0" applyFont="1" applyFill="1" applyBorder="1" applyAlignment="1">
      <alignment horizontal="right"/>
    </xf>
    <xf numFmtId="0" fontId="9" fillId="5" borderId="1" xfId="0" applyFont="1" applyFill="1" applyBorder="1" applyAlignment="1">
      <alignment horizontal="left" vertical="center" wrapText="1"/>
    </xf>
    <xf numFmtId="0" fontId="0" fillId="2" borderId="10" xfId="0" applyFill="1" applyBorder="1"/>
    <xf numFmtId="0" fontId="12" fillId="2" borderId="10" xfId="0" applyFont="1" applyFill="1" applyBorder="1"/>
    <xf numFmtId="0" fontId="12" fillId="2" borderId="2" xfId="0" applyFont="1" applyFill="1" applyBorder="1"/>
    <xf numFmtId="0" fontId="0" fillId="2" borderId="1" xfId="0" applyFill="1" applyBorder="1"/>
    <xf numFmtId="0" fontId="0" fillId="2" borderId="3" xfId="0" applyFill="1" applyBorder="1"/>
    <xf numFmtId="0" fontId="0" fillId="5" borderId="0" xfId="0" applyFill="1"/>
    <xf numFmtId="0" fontId="0" fillId="5" borderId="2" xfId="0" applyFill="1" applyBorder="1"/>
    <xf numFmtId="0" fontId="12" fillId="5" borderId="7" xfId="0" applyFont="1" applyFill="1" applyBorder="1" applyAlignment="1">
      <alignment horizontal="left" vertical="top" indent="2"/>
    </xf>
    <xf numFmtId="0" fontId="0" fillId="5" borderId="0" xfId="0" applyFill="1" applyBorder="1"/>
    <xf numFmtId="14" fontId="3" fillId="5" borderId="0" xfId="0" applyNumberFormat="1" applyFont="1" applyFill="1" applyBorder="1" applyAlignment="1">
      <alignment vertical="center" wrapText="1"/>
    </xf>
    <xf numFmtId="0" fontId="1" fillId="5" borderId="0" xfId="0" applyFont="1" applyFill="1" applyBorder="1"/>
    <xf numFmtId="0" fontId="3" fillId="5" borderId="0" xfId="0" applyFont="1" applyFill="1" applyBorder="1" applyAlignment="1">
      <alignment vertical="center"/>
    </xf>
    <xf numFmtId="0" fontId="3" fillId="5" borderId="0" xfId="0" applyFont="1" applyFill="1" applyBorder="1" applyAlignment="1">
      <alignment vertical="center" wrapText="1"/>
    </xf>
    <xf numFmtId="0" fontId="37" fillId="2" borderId="0" xfId="0" applyFont="1" applyFill="1" applyBorder="1" applyAlignment="1">
      <alignment horizontal="center" vertical="center"/>
    </xf>
    <xf numFmtId="0" fontId="3" fillId="2" borderId="2" xfId="0" applyFont="1" applyFill="1" applyBorder="1" applyAlignment="1">
      <alignment vertical="center"/>
    </xf>
    <xf numFmtId="14" fontId="3" fillId="2" borderId="2" xfId="0" applyNumberFormat="1" applyFont="1" applyFill="1" applyBorder="1" applyAlignment="1">
      <alignment vertical="center" wrapText="1"/>
    </xf>
    <xf numFmtId="0" fontId="3" fillId="2" borderId="2" xfId="0" applyFont="1" applyFill="1" applyBorder="1" applyAlignment="1">
      <alignment vertical="center" wrapText="1"/>
    </xf>
    <xf numFmtId="0" fontId="0" fillId="2" borderId="11" xfId="0" applyFill="1" applyBorder="1"/>
    <xf numFmtId="0" fontId="16" fillId="2" borderId="14" xfId="0" applyFont="1" applyFill="1" applyBorder="1" applyAlignment="1">
      <alignment vertical="center" wrapText="1"/>
    </xf>
    <xf numFmtId="0" fontId="16" fillId="2" borderId="0" xfId="0" applyFont="1" applyFill="1" applyBorder="1" applyAlignment="1">
      <alignment vertical="center" wrapText="1"/>
    </xf>
    <xf numFmtId="0" fontId="4" fillId="2" borderId="2" xfId="0" applyFont="1" applyFill="1" applyBorder="1" applyAlignment="1">
      <alignment horizontal="left"/>
    </xf>
    <xf numFmtId="0" fontId="3" fillId="2" borderId="2" xfId="0" applyFont="1" applyFill="1" applyBorder="1" applyAlignment="1">
      <alignment horizontal="left" vertical="center"/>
    </xf>
    <xf numFmtId="0" fontId="6" fillId="2" borderId="2" xfId="0" applyFont="1" applyFill="1" applyBorder="1"/>
    <xf numFmtId="0" fontId="18" fillId="0" borderId="2" xfId="0" applyFont="1" applyBorder="1"/>
    <xf numFmtId="0" fontId="19" fillId="2" borderId="2" xfId="0" applyFont="1" applyFill="1" applyBorder="1" applyAlignment="1"/>
    <xf numFmtId="0" fontId="19" fillId="2" borderId="2" xfId="0" applyFont="1" applyFill="1" applyBorder="1"/>
    <xf numFmtId="0" fontId="38" fillId="5" borderId="0" xfId="0" applyFont="1" applyFill="1"/>
    <xf numFmtId="0" fontId="38" fillId="5" borderId="0" xfId="0" applyFont="1" applyFill="1" applyBorder="1"/>
    <xf numFmtId="14" fontId="39" fillId="5" borderId="0" xfId="0" applyNumberFormat="1" applyFont="1" applyFill="1" applyBorder="1" applyAlignment="1">
      <alignment vertical="center" wrapText="1"/>
    </xf>
    <xf numFmtId="0" fontId="39" fillId="5" borderId="0" xfId="0" applyFont="1" applyFill="1" applyBorder="1" applyAlignment="1">
      <alignment vertical="center"/>
    </xf>
    <xf numFmtId="0" fontId="39" fillId="5" borderId="0" xfId="0" applyFont="1" applyFill="1" applyBorder="1" applyAlignment="1">
      <alignment vertical="center" wrapText="1"/>
    </xf>
    <xf numFmtId="0" fontId="38" fillId="5" borderId="2" xfId="0" applyFont="1" applyFill="1" applyBorder="1"/>
    <xf numFmtId="0" fontId="20" fillId="2" borderId="2" xfId="0" applyFont="1" applyFill="1" applyBorder="1"/>
    <xf numFmtId="0" fontId="20" fillId="5" borderId="0" xfId="0" applyFont="1" applyFill="1"/>
    <xf numFmtId="0" fontId="6" fillId="5" borderId="0" xfId="0" applyFont="1" applyFill="1"/>
    <xf numFmtId="0" fontId="5" fillId="2" borderId="2" xfId="0" applyFont="1" applyFill="1" applyBorder="1" applyAlignment="1">
      <alignment horizontal="left"/>
    </xf>
    <xf numFmtId="0" fontId="3" fillId="2" borderId="2" xfId="0" applyFont="1" applyFill="1" applyBorder="1" applyAlignment="1">
      <alignment horizontal="left"/>
    </xf>
    <xf numFmtId="0" fontId="12" fillId="2" borderId="0" xfId="0" applyFont="1" applyFill="1" applyBorder="1" applyAlignment="1">
      <alignment horizontal="center"/>
    </xf>
    <xf numFmtId="0" fontId="5" fillId="5" borderId="0" xfId="0" applyFont="1" applyFill="1" applyBorder="1" applyAlignment="1">
      <alignment horizontal="left"/>
    </xf>
    <xf numFmtId="0" fontId="4" fillId="5" borderId="0" xfId="0" applyFont="1" applyFill="1" applyBorder="1" applyAlignment="1">
      <alignment horizontal="left"/>
    </xf>
    <xf numFmtId="0" fontId="3" fillId="5" borderId="0" xfId="0" applyFont="1" applyFill="1" applyBorder="1" applyAlignment="1">
      <alignment horizontal="left"/>
    </xf>
    <xf numFmtId="0" fontId="3" fillId="5" borderId="0" xfId="0" applyFont="1" applyFill="1" applyBorder="1" applyAlignment="1">
      <alignment horizontal="left" vertical="center"/>
    </xf>
    <xf numFmtId="0" fontId="11" fillId="5" borderId="0" xfId="0" applyFont="1" applyFill="1" applyBorder="1" applyAlignment="1">
      <alignment horizontal="left"/>
    </xf>
    <xf numFmtId="0" fontId="11" fillId="5" borderId="0" xfId="0" applyFont="1" applyFill="1" applyBorder="1" applyAlignment="1">
      <alignment vertical="center"/>
    </xf>
    <xf numFmtId="0" fontId="11" fillId="5" borderId="0" xfId="0" applyFont="1" applyFill="1" applyBorder="1" applyAlignment="1">
      <alignment vertical="center" wrapText="1"/>
    </xf>
    <xf numFmtId="0" fontId="12" fillId="2" borderId="1" xfId="0" applyFont="1" applyFill="1" applyBorder="1" applyAlignment="1">
      <alignment horizontal="left" vertical="center"/>
    </xf>
    <xf numFmtId="2" fontId="12" fillId="2" borderId="1" xfId="0" applyNumberFormat="1" applyFont="1" applyFill="1" applyBorder="1" applyAlignment="1">
      <alignment horizontal="left" vertical="center"/>
    </xf>
    <xf numFmtId="0" fontId="12" fillId="2" borderId="1" xfId="0" applyFont="1" applyFill="1" applyBorder="1"/>
    <xf numFmtId="0" fontId="12" fillId="5" borderId="0" xfId="0" applyFont="1" applyFill="1" applyAlignment="1">
      <alignment horizontal="left" vertical="center"/>
    </xf>
    <xf numFmtId="2" fontId="8" fillId="4" borderId="20" xfId="0" applyNumberFormat="1" applyFont="1" applyFill="1" applyBorder="1" applyAlignment="1">
      <alignment horizontal="right"/>
    </xf>
    <xf numFmtId="2" fontId="12" fillId="4" borderId="0" xfId="0" applyNumberFormat="1" applyFont="1" applyFill="1" applyBorder="1" applyAlignment="1">
      <alignment horizontal="left"/>
    </xf>
    <xf numFmtId="2" fontId="12" fillId="3" borderId="21" xfId="0" applyNumberFormat="1" applyFont="1" applyFill="1" applyBorder="1" applyAlignment="1" applyProtection="1">
      <alignment horizontal="left"/>
      <protection locked="0"/>
    </xf>
    <xf numFmtId="0" fontId="12" fillId="5" borderId="2" xfId="0" applyFont="1" applyFill="1" applyBorder="1" applyAlignment="1">
      <alignment horizontal="left" vertical="center" wrapText="1"/>
    </xf>
    <xf numFmtId="0" fontId="12" fillId="5" borderId="2" xfId="0" applyFont="1" applyFill="1" applyBorder="1" applyAlignment="1" applyProtection="1">
      <alignment horizontal="left" vertical="center"/>
      <protection hidden="1"/>
    </xf>
    <xf numFmtId="2" fontId="10" fillId="5" borderId="5" xfId="0" applyNumberFormat="1" applyFont="1" applyFill="1" applyBorder="1" applyAlignment="1">
      <alignment horizontal="left" vertical="center"/>
    </xf>
    <xf numFmtId="2" fontId="10" fillId="5" borderId="0" xfId="0" applyNumberFormat="1" applyFont="1" applyFill="1" applyBorder="1" applyAlignment="1">
      <alignment horizontal="left" vertical="center"/>
    </xf>
    <xf numFmtId="2" fontId="10" fillId="5" borderId="2" xfId="0" applyNumberFormat="1" applyFont="1" applyFill="1" applyBorder="1" applyAlignment="1">
      <alignment horizontal="left" vertical="center"/>
    </xf>
    <xf numFmtId="2" fontId="10" fillId="2" borderId="0" xfId="0" applyNumberFormat="1" applyFont="1" applyFill="1" applyBorder="1" applyAlignment="1">
      <alignment horizontal="left" vertical="center"/>
    </xf>
    <xf numFmtId="0" fontId="8" fillId="5" borderId="3" xfId="0" applyFont="1" applyFill="1" applyBorder="1" applyAlignment="1">
      <alignment horizontal="left" vertical="center"/>
    </xf>
    <xf numFmtId="0" fontId="12" fillId="5" borderId="22" xfId="0" applyFont="1" applyFill="1" applyBorder="1" applyAlignment="1">
      <alignment horizontal="left" vertical="center"/>
    </xf>
    <xf numFmtId="0" fontId="8" fillId="2" borderId="23" xfId="0" applyFont="1" applyFill="1" applyBorder="1" applyAlignment="1">
      <alignment horizontal="left" vertical="center" wrapText="1"/>
    </xf>
    <xf numFmtId="2" fontId="8" fillId="4" borderId="0" xfId="0" applyNumberFormat="1" applyFont="1" applyFill="1" applyBorder="1" applyAlignment="1">
      <alignment horizontal="right"/>
    </xf>
    <xf numFmtId="2" fontId="12" fillId="4" borderId="24" xfId="0" applyNumberFormat="1" applyFont="1" applyFill="1" applyBorder="1" applyAlignment="1">
      <alignment horizontal="left"/>
    </xf>
    <xf numFmtId="2" fontId="12" fillId="4" borderId="20" xfId="0" applyNumberFormat="1" applyFont="1" applyFill="1" applyBorder="1" applyAlignment="1">
      <alignment horizontal="left"/>
    </xf>
    <xf numFmtId="2" fontId="12" fillId="4" borderId="23" xfId="0" applyNumberFormat="1" applyFont="1" applyFill="1" applyBorder="1" applyAlignment="1">
      <alignment horizontal="left"/>
    </xf>
    <xf numFmtId="0" fontId="12" fillId="4" borderId="13" xfId="0" applyFont="1" applyFill="1" applyBorder="1" applyAlignment="1">
      <alignment horizontal="center" vertical="center" wrapText="1"/>
    </xf>
    <xf numFmtId="0" fontId="20" fillId="2" borderId="0" xfId="0" applyFont="1" applyFill="1"/>
    <xf numFmtId="2" fontId="12" fillId="5" borderId="22" xfId="0" applyNumberFormat="1" applyFont="1" applyFill="1" applyBorder="1" applyAlignment="1">
      <alignment horizontal="left" vertical="center"/>
    </xf>
    <xf numFmtId="2" fontId="40" fillId="2" borderId="0" xfId="0" applyNumberFormat="1" applyFont="1" applyFill="1" applyBorder="1" applyAlignment="1">
      <alignment horizontal="center" vertical="center"/>
    </xf>
    <xf numFmtId="0" fontId="9" fillId="2" borderId="0" xfId="0" applyFont="1" applyFill="1" applyBorder="1" applyAlignment="1">
      <alignment horizontal="left" vertical="center" wrapText="1"/>
    </xf>
    <xf numFmtId="0" fontId="13" fillId="5" borderId="5" xfId="0" applyFont="1" applyFill="1" applyBorder="1" applyAlignment="1">
      <alignment horizontal="left" vertical="center"/>
    </xf>
    <xf numFmtId="2" fontId="13" fillId="5" borderId="5" xfId="0" applyNumberFormat="1" applyFont="1" applyFill="1" applyBorder="1" applyAlignment="1">
      <alignment horizontal="left" vertical="center"/>
    </xf>
    <xf numFmtId="0" fontId="12" fillId="2" borderId="11" xfId="0" applyFont="1" applyFill="1" applyBorder="1"/>
    <xf numFmtId="0" fontId="12" fillId="2" borderId="3" xfId="0" applyFont="1" applyFill="1" applyBorder="1"/>
    <xf numFmtId="164" fontId="12" fillId="2" borderId="14" xfId="0" applyNumberFormat="1" applyFont="1" applyFill="1" applyBorder="1" applyAlignment="1">
      <alignment horizontal="left" vertical="center"/>
    </xf>
    <xf numFmtId="164" fontId="12" fillId="4" borderId="14" xfId="0" applyNumberFormat="1" applyFont="1" applyFill="1" applyBorder="1" applyAlignment="1">
      <alignment horizontal="center" vertical="center"/>
    </xf>
    <xf numFmtId="164" fontId="12" fillId="2" borderId="0" xfId="0" applyNumberFormat="1" applyFont="1" applyFill="1" applyBorder="1" applyAlignment="1">
      <alignment horizontal="left" vertical="center"/>
    </xf>
    <xf numFmtId="164" fontId="8" fillId="2" borderId="0" xfId="0" applyNumberFormat="1" applyFont="1" applyFill="1" applyBorder="1" applyAlignment="1">
      <alignment horizontal="left" vertical="center"/>
    </xf>
    <xf numFmtId="164" fontId="8" fillId="4" borderId="0" xfId="0" applyNumberFormat="1" applyFont="1" applyFill="1" applyBorder="1" applyAlignment="1">
      <alignment horizontal="center" vertical="center"/>
    </xf>
    <xf numFmtId="2" fontId="12" fillId="5" borderId="10" xfId="0" applyNumberFormat="1" applyFont="1" applyFill="1" applyBorder="1" applyAlignment="1">
      <alignment horizontal="left" vertical="center"/>
    </xf>
    <xf numFmtId="2" fontId="12" fillId="5" borderId="8" xfId="0" applyNumberFormat="1" applyFont="1" applyFill="1" applyBorder="1" applyAlignment="1">
      <alignment horizontal="left" vertical="center"/>
    </xf>
    <xf numFmtId="0" fontId="12" fillId="5" borderId="10" xfId="0" applyFont="1" applyFill="1" applyBorder="1"/>
    <xf numFmtId="0" fontId="12" fillId="2" borderId="10" xfId="0" applyFont="1" applyFill="1" applyBorder="1" applyAlignment="1">
      <alignment horizontal="left" vertical="top" wrapText="1" indent="2"/>
    </xf>
    <xf numFmtId="0" fontId="12" fillId="2" borderId="10" xfId="0" applyFont="1" applyFill="1" applyBorder="1" applyAlignment="1">
      <alignment horizontal="left" vertical="top" indent="2"/>
    </xf>
    <xf numFmtId="0" fontId="0" fillId="5" borderId="15" xfId="0" applyFill="1" applyBorder="1"/>
    <xf numFmtId="0" fontId="0" fillId="2" borderId="8" xfId="0" applyFill="1" applyBorder="1" applyAlignment="1">
      <alignment horizontal="left" vertical="top" indent="2"/>
    </xf>
    <xf numFmtId="0" fontId="0" fillId="2" borderId="7" xfId="0" applyFill="1" applyBorder="1" applyAlignment="1">
      <alignment horizontal="left" vertical="top" indent="2"/>
    </xf>
    <xf numFmtId="0" fontId="0" fillId="2" borderId="9" xfId="0" applyFill="1" applyBorder="1"/>
    <xf numFmtId="0" fontId="0" fillId="2" borderId="10" xfId="0" applyFill="1" applyBorder="1" applyAlignment="1">
      <alignment horizontal="left" vertical="top" indent="2"/>
    </xf>
    <xf numFmtId="0" fontId="0" fillId="2" borderId="0" xfId="0" applyFill="1" applyAlignment="1">
      <alignment horizontal="left" vertical="top" indent="2"/>
    </xf>
    <xf numFmtId="0" fontId="0" fillId="3" borderId="0" xfId="0" applyFill="1" applyAlignment="1">
      <alignment horizontal="left" vertical="top" indent="2"/>
    </xf>
    <xf numFmtId="0" fontId="12" fillId="2" borderId="0" xfId="0" applyFont="1" applyFill="1" applyAlignment="1">
      <alignment horizontal="left" vertical="top"/>
    </xf>
    <xf numFmtId="0" fontId="0" fillId="4" borderId="0" xfId="0" applyFill="1" applyAlignment="1">
      <alignment horizontal="left" vertical="top" indent="2"/>
    </xf>
    <xf numFmtId="0" fontId="0" fillId="5" borderId="0" xfId="0" applyFill="1" applyAlignment="1">
      <alignment horizontal="left" vertical="top" indent="2"/>
    </xf>
    <xf numFmtId="0" fontId="42" fillId="5" borderId="0" xfId="1" applyFont="1" applyFill="1" applyBorder="1"/>
    <xf numFmtId="0" fontId="42" fillId="5" borderId="0" xfId="1" quotePrefix="1" applyFont="1" applyFill="1" applyBorder="1"/>
    <xf numFmtId="0" fontId="12" fillId="2" borderId="0" xfId="0" applyFont="1" applyFill="1" applyAlignment="1">
      <alignment horizontal="left" vertical="top" indent="2"/>
    </xf>
    <xf numFmtId="0" fontId="12" fillId="2" borderId="0" xfId="0" applyFont="1" applyFill="1" applyAlignment="1">
      <alignment horizontal="left" vertical="top" wrapText="1" indent="2"/>
    </xf>
    <xf numFmtId="0" fontId="12" fillId="5" borderId="0" xfId="0" applyFont="1" applyFill="1" applyAlignment="1">
      <alignment horizontal="left" vertical="top" indent="2"/>
    </xf>
    <xf numFmtId="0" fontId="0" fillId="5" borderId="7" xfId="0" applyFill="1" applyBorder="1"/>
    <xf numFmtId="0" fontId="13" fillId="0" borderId="11" xfId="0" applyFont="1" applyBorder="1" applyAlignment="1">
      <alignment horizontal="left" vertical="top" wrapText="1" indent="2"/>
    </xf>
    <xf numFmtId="0" fontId="13" fillId="0" borderId="1" xfId="0" applyFont="1" applyBorder="1" applyAlignment="1">
      <alignment horizontal="left" vertical="top" wrapText="1" indent="2"/>
    </xf>
    <xf numFmtId="0" fontId="36" fillId="6" borderId="8" xfId="0" applyFont="1" applyFill="1" applyBorder="1" applyAlignment="1">
      <alignment horizontal="left" vertical="center" indent="2"/>
    </xf>
    <xf numFmtId="0" fontId="36" fillId="6" borderId="7" xfId="0" applyFont="1" applyFill="1" applyBorder="1" applyAlignment="1">
      <alignment horizontal="left" vertical="center" indent="2"/>
    </xf>
    <xf numFmtId="0" fontId="36" fillId="6" borderId="9" xfId="0" applyFont="1" applyFill="1" applyBorder="1" applyAlignment="1">
      <alignment horizontal="left" vertical="center" indent="2"/>
    </xf>
    <xf numFmtId="0" fontId="36" fillId="6" borderId="10" xfId="0" applyFont="1" applyFill="1" applyBorder="1" applyAlignment="1">
      <alignment horizontal="left" vertical="center" indent="2"/>
    </xf>
    <xf numFmtId="0" fontId="36" fillId="6" borderId="0" xfId="0" applyFont="1" applyFill="1" applyAlignment="1">
      <alignment horizontal="left" vertical="center" indent="2"/>
    </xf>
    <xf numFmtId="0" fontId="36" fillId="6" borderId="2" xfId="0" applyFont="1" applyFill="1" applyBorder="1" applyAlignment="1">
      <alignment horizontal="left" vertical="center" indent="2"/>
    </xf>
    <xf numFmtId="0" fontId="12" fillId="2" borderId="10" xfId="0" applyFont="1" applyFill="1" applyBorder="1" applyAlignment="1">
      <alignment horizontal="left" wrapText="1" indent="2"/>
    </xf>
    <xf numFmtId="0" fontId="12" fillId="2" borderId="0" xfId="0" applyFont="1" applyFill="1" applyAlignment="1">
      <alignment horizontal="left" wrapText="1" indent="2"/>
    </xf>
    <xf numFmtId="0" fontId="13" fillId="0" borderId="10" xfId="0" applyFont="1" applyBorder="1" applyAlignment="1">
      <alignment horizontal="left" wrapText="1" indent="2"/>
    </xf>
    <xf numFmtId="0" fontId="13" fillId="0" borderId="0" xfId="0" applyFont="1" applyAlignment="1">
      <alignment horizontal="left" wrapText="1" indent="2"/>
    </xf>
    <xf numFmtId="0" fontId="13" fillId="2" borderId="10" xfId="0" applyFont="1" applyFill="1" applyBorder="1" applyAlignment="1">
      <alignment horizontal="left" wrapText="1" indent="2"/>
    </xf>
    <xf numFmtId="0" fontId="13" fillId="2" borderId="0" xfId="0" applyFont="1" applyFill="1" applyAlignment="1">
      <alignment horizontal="left" wrapText="1" indent="2"/>
    </xf>
    <xf numFmtId="0" fontId="13" fillId="2" borderId="0" xfId="0" applyFont="1" applyFill="1" applyBorder="1" applyAlignment="1">
      <alignment horizontal="left" wrapText="1" indent="2"/>
    </xf>
    <xf numFmtId="0" fontId="13" fillId="2" borderId="11" xfId="0" applyFont="1" applyFill="1" applyBorder="1" applyAlignment="1">
      <alignment horizontal="left" wrapText="1" indent="2"/>
    </xf>
    <xf numFmtId="0" fontId="13" fillId="2" borderId="1" xfId="0" applyFont="1" applyFill="1" applyBorder="1" applyAlignment="1">
      <alignment horizontal="left" wrapText="1" indent="2"/>
    </xf>
    <xf numFmtId="0" fontId="33" fillId="6" borderId="0" xfId="0" applyFont="1" applyFill="1" applyAlignment="1">
      <alignment horizontal="left" vertical="center" indent="2"/>
    </xf>
    <xf numFmtId="0" fontId="31" fillId="0" borderId="10" xfId="0" applyFont="1" applyBorder="1" applyAlignment="1">
      <alignment horizontal="left" vertical="top" indent="2"/>
    </xf>
    <xf numFmtId="0" fontId="31" fillId="0" borderId="0" xfId="0" applyFont="1" applyAlignment="1">
      <alignment horizontal="left" vertical="top" indent="2"/>
    </xf>
    <xf numFmtId="0" fontId="13" fillId="0" borderId="10" xfId="0" applyFont="1" applyBorder="1" applyAlignment="1">
      <alignment horizontal="left" vertical="top" indent="2"/>
    </xf>
    <xf numFmtId="0" fontId="13" fillId="0" borderId="0" xfId="0" applyFont="1" applyAlignment="1">
      <alignment horizontal="left" vertical="top" indent="2"/>
    </xf>
    <xf numFmtId="0" fontId="13" fillId="0" borderId="0" xfId="0" applyFont="1" applyAlignment="1">
      <alignment horizontal="left" vertical="top" wrapText="1" indent="2"/>
    </xf>
    <xf numFmtId="0" fontId="8" fillId="2" borderId="10" xfId="0" applyFont="1" applyFill="1" applyBorder="1" applyAlignment="1">
      <alignment horizontal="left" vertical="top" wrapText="1" indent="2"/>
    </xf>
    <xf numFmtId="0" fontId="8" fillId="2" borderId="0" xfId="0" applyFont="1" applyFill="1" applyAlignment="1">
      <alignment horizontal="left" vertical="top" wrapText="1" indent="2"/>
    </xf>
    <xf numFmtId="0" fontId="12" fillId="2" borderId="10" xfId="0" applyFont="1" applyFill="1" applyBorder="1" applyAlignment="1">
      <alignment horizontal="left" vertical="top" indent="2"/>
    </xf>
    <xf numFmtId="0" fontId="12" fillId="2" borderId="0" xfId="0" applyFont="1" applyFill="1" applyAlignment="1">
      <alignment horizontal="left" vertical="top" indent="2"/>
    </xf>
    <xf numFmtId="0" fontId="13" fillId="2" borderId="0" xfId="0" applyFont="1" applyFill="1" applyAlignment="1">
      <alignment horizontal="left" vertical="top" wrapText="1" indent="2"/>
    </xf>
    <xf numFmtId="0" fontId="12" fillId="2" borderId="10" xfId="0" applyFont="1" applyFill="1" applyBorder="1" applyAlignment="1">
      <alignment horizontal="left" vertical="top" wrapText="1" indent="2"/>
    </xf>
    <xf numFmtId="0" fontId="12" fillId="2" borderId="0" xfId="0" applyFont="1" applyFill="1" applyAlignment="1">
      <alignment horizontal="left" vertical="top" wrapText="1" indent="2"/>
    </xf>
    <xf numFmtId="0" fontId="30" fillId="0" borderId="10" xfId="0" applyFont="1" applyBorder="1" applyAlignment="1">
      <alignment horizontal="left" vertical="center" indent="2"/>
    </xf>
    <xf numFmtId="0" fontId="30" fillId="0" borderId="0" xfId="0" applyFont="1" applyAlignment="1">
      <alignment horizontal="left" vertical="center" indent="2"/>
    </xf>
    <xf numFmtId="0" fontId="8" fillId="2" borderId="2" xfId="0" applyFont="1" applyFill="1" applyBorder="1" applyAlignment="1">
      <alignment horizontal="left" vertical="top" wrapText="1" indent="2"/>
    </xf>
    <xf numFmtId="0" fontId="32" fillId="2" borderId="0" xfId="1" applyFont="1" applyFill="1" applyProtection="1">
      <protection locked="0"/>
    </xf>
    <xf numFmtId="0" fontId="32" fillId="0" borderId="0" xfId="1" applyFont="1" applyProtection="1">
      <protection locked="0"/>
    </xf>
    <xf numFmtId="0" fontId="36" fillId="6" borderId="0" xfId="0" applyFont="1" applyFill="1" applyBorder="1" applyAlignment="1">
      <alignment horizontal="left" vertical="center" indent="2"/>
    </xf>
    <xf numFmtId="14" fontId="12" fillId="3" borderId="12" xfId="0" applyNumberFormat="1" applyFont="1" applyFill="1" applyBorder="1" applyAlignment="1" applyProtection="1">
      <alignment horizontal="left" vertical="center" wrapText="1"/>
      <protection locked="0"/>
    </xf>
    <xf numFmtId="0" fontId="12" fillId="3" borderId="14"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36" fillId="6" borderId="10" xfId="0" applyFont="1" applyFill="1" applyBorder="1" applyAlignment="1">
      <alignment horizontal="left" vertical="center" indent="3"/>
    </xf>
    <xf numFmtId="0" fontId="36" fillId="6" borderId="0" xfId="0" applyFont="1" applyFill="1" applyBorder="1" applyAlignment="1">
      <alignment horizontal="left" vertical="center" indent="3"/>
    </xf>
    <xf numFmtId="0" fontId="36" fillId="6" borderId="2" xfId="0" applyFont="1" applyFill="1" applyBorder="1" applyAlignment="1">
      <alignment horizontal="left" vertical="center" indent="3"/>
    </xf>
    <xf numFmtId="0" fontId="25" fillId="2" borderId="0" xfId="0" applyFont="1" applyFill="1" applyAlignment="1">
      <alignment horizontal="center"/>
    </xf>
    <xf numFmtId="0" fontId="8" fillId="2" borderId="0" xfId="0" applyFont="1" applyFill="1" applyBorder="1" applyAlignment="1">
      <alignment horizontal="center" vertical="center" wrapText="1"/>
    </xf>
    <xf numFmtId="0" fontId="35" fillId="2" borderId="0" xfId="0" applyFont="1" applyFill="1" applyAlignment="1">
      <alignment horizontal="center"/>
    </xf>
    <xf numFmtId="0" fontId="9" fillId="2" borderId="0" xfId="0" applyFont="1" applyFill="1" applyBorder="1" applyAlignment="1">
      <alignment horizontal="left" vertical="center" wrapText="1"/>
    </xf>
    <xf numFmtId="0" fontId="8" fillId="2" borderId="12" xfId="0" applyFont="1" applyFill="1" applyBorder="1" applyAlignment="1">
      <alignment horizontal="left"/>
    </xf>
    <xf numFmtId="0" fontId="9" fillId="2" borderId="14" xfId="0" applyFont="1" applyFill="1" applyBorder="1" applyAlignment="1">
      <alignment horizontal="left" vertical="center" wrapText="1"/>
    </xf>
    <xf numFmtId="0" fontId="36" fillId="6" borderId="0" xfId="0" applyFont="1" applyFill="1" applyAlignment="1">
      <alignment horizontal="left" vertical="center" indent="3"/>
    </xf>
    <xf numFmtId="0" fontId="35" fillId="2" borderId="0" xfId="0" applyFont="1" applyFill="1" applyAlignment="1">
      <alignment horizontal="center" vertical="center"/>
    </xf>
    <xf numFmtId="0" fontId="36" fillId="6" borderId="8" xfId="0" applyFont="1" applyFill="1" applyBorder="1" applyAlignment="1">
      <alignment horizontal="left" vertical="center" indent="3"/>
    </xf>
    <xf numFmtId="0" fontId="36" fillId="6" borderId="7" xfId="0" applyFont="1" applyFill="1" applyBorder="1" applyAlignment="1">
      <alignment horizontal="left" vertical="center" indent="3"/>
    </xf>
    <xf numFmtId="0" fontId="36" fillId="6" borderId="9" xfId="0" applyFont="1" applyFill="1" applyBorder="1" applyAlignment="1">
      <alignment horizontal="left" vertical="center" indent="3"/>
    </xf>
    <xf numFmtId="0" fontId="35" fillId="2" borderId="0" xfId="0" applyFont="1" applyFill="1" applyBorder="1" applyAlignment="1">
      <alignment horizontal="center" vertical="center"/>
    </xf>
    <xf numFmtId="0" fontId="22" fillId="2" borderId="0" xfId="0" applyFont="1" applyFill="1" applyBorder="1" applyAlignment="1">
      <alignment horizontal="center" vertical="top"/>
    </xf>
    <xf numFmtId="0" fontId="8" fillId="2" borderId="0" xfId="0" applyFont="1" applyFill="1" applyBorder="1" applyAlignment="1">
      <alignment horizontal="left" vertical="center" wrapText="1"/>
    </xf>
    <xf numFmtId="2" fontId="17" fillId="2" borderId="0" xfId="0" applyNumberFormat="1" applyFont="1" applyFill="1" applyBorder="1" applyAlignment="1">
      <alignment horizontal="center" vertical="center"/>
    </xf>
    <xf numFmtId="2" fontId="17" fillId="4" borderId="0" xfId="0" applyNumberFormat="1" applyFont="1" applyFill="1" applyBorder="1" applyAlignment="1">
      <alignment horizontal="center" vertical="center"/>
    </xf>
    <xf numFmtId="0" fontId="8" fillId="2" borderId="0" xfId="0" applyFont="1" applyFill="1" applyAlignment="1">
      <alignment horizontal="left" vertical="center" wrapText="1"/>
    </xf>
    <xf numFmtId="2" fontId="17" fillId="4" borderId="0" xfId="0" applyNumberFormat="1" applyFont="1" applyFill="1" applyAlignment="1">
      <alignment horizontal="center" vertical="center"/>
    </xf>
    <xf numFmtId="0" fontId="41" fillId="6" borderId="8" xfId="0" applyFont="1" applyFill="1" applyBorder="1" applyAlignment="1">
      <alignment horizontal="left" vertical="center" indent="3"/>
    </xf>
    <xf numFmtId="0" fontId="41" fillId="6" borderId="7" xfId="0" applyFont="1" applyFill="1" applyBorder="1" applyAlignment="1">
      <alignment horizontal="left" vertical="center" indent="3"/>
    </xf>
    <xf numFmtId="0" fontId="41" fillId="6" borderId="9" xfId="0" applyFont="1" applyFill="1" applyBorder="1" applyAlignment="1">
      <alignment horizontal="left" vertical="center" indent="3"/>
    </xf>
    <xf numFmtId="0" fontId="41" fillId="6" borderId="10" xfId="0" applyFont="1" applyFill="1" applyBorder="1" applyAlignment="1">
      <alignment horizontal="left" vertical="center" indent="3"/>
    </xf>
    <xf numFmtId="0" fontId="41" fillId="6" borderId="0" xfId="0" applyFont="1" applyFill="1" applyBorder="1" applyAlignment="1">
      <alignment horizontal="left" vertical="center" indent="3"/>
    </xf>
    <xf numFmtId="0" fontId="41" fillId="6" borderId="2" xfId="0" applyFont="1" applyFill="1" applyBorder="1" applyAlignment="1">
      <alignment horizontal="left" vertical="center" indent="3"/>
    </xf>
  </cellXfs>
  <cellStyles count="2">
    <cellStyle name="Hyperlink" xfId="1" builtinId="8"/>
    <cellStyle name="Normal" xfId="0" builtinId="0"/>
  </cellStyles>
  <dxfs count="10">
    <dxf>
      <fill>
        <patternFill>
          <bgColor rgb="FFF7E8BE"/>
        </patternFill>
      </fill>
    </dxf>
    <dxf>
      <fill>
        <patternFill>
          <bgColor rgb="FFF7E8BE"/>
        </patternFill>
      </fill>
    </dxf>
    <dxf>
      <fill>
        <patternFill>
          <bgColor rgb="FFF7E8BE"/>
        </patternFill>
      </fill>
    </dxf>
    <dxf>
      <fill>
        <patternFill>
          <fgColor rgb="FFF7E8BE"/>
          <bgColor rgb="FFF7E8BE"/>
        </patternFill>
      </fill>
    </dxf>
    <dxf>
      <fill>
        <patternFill>
          <fgColor rgb="FFF7E8BE"/>
          <bgColor rgb="FFF7E8BE"/>
        </patternFill>
      </fill>
    </dxf>
    <dxf>
      <fill>
        <patternFill patternType="solid">
          <fgColor rgb="FFF7E8BE"/>
          <bgColor rgb="FFF7E8BE"/>
        </patternFill>
      </fill>
    </dxf>
    <dxf>
      <fill>
        <patternFill>
          <bgColor theme="0"/>
        </patternFill>
      </fill>
    </dxf>
    <dxf>
      <font>
        <b val="0"/>
        <i val="0"/>
        <strike val="0"/>
        <color auto="1"/>
      </font>
      <fill>
        <patternFill>
          <fgColor rgb="FFF7E8BE"/>
          <bgColor rgb="FFF7E8BE"/>
        </patternFill>
      </fill>
    </dxf>
    <dxf>
      <numFmt numFmtId="0" formatCode="General"/>
      <fill>
        <patternFill>
          <bgColor rgb="FF9DD3BE"/>
        </patternFill>
      </fill>
      <border>
        <left/>
        <right/>
        <top/>
        <bottom/>
      </border>
    </dxf>
    <dxf>
      <font>
        <strike val="0"/>
        <color theme="0"/>
      </font>
    </dxf>
  </dxfs>
  <tableStyles count="0" defaultTableStyle="TableStyleMedium2" defaultPivotStyle="PivotStyleLight16"/>
  <colors>
    <mruColors>
      <color rgb="FF449669"/>
      <color rgb="FFF7E8BE"/>
      <color rgb="FF9DD3BE"/>
      <color rgb="FFAAC7EE"/>
      <color rgb="FFF3EEDD"/>
      <color rgb="FF9DDBBE"/>
      <color rgb="FFC5C5C5"/>
      <color rgb="FFC5C1C7"/>
      <color rgb="FFE0CBFD"/>
      <color rgb="FFFECE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ee.ricardo.com/" TargetMode="External"/><Relationship Id="rId7" Type="http://schemas.openxmlformats.org/officeDocument/2006/relationships/hyperlink" Target="#'River Wensum SAC'!A1"/><Relationship Id="rId2" Type="http://schemas.openxmlformats.org/officeDocument/2006/relationships/hyperlink" Target="https://www.flickr.com/photos/8929612@N04/4831631318" TargetMode="External"/><Relationship Id="rId1" Type="http://schemas.openxmlformats.org/officeDocument/2006/relationships/image" Target="../media/image1.jpg"/><Relationship Id="rId6" Type="http://schemas.openxmlformats.org/officeDocument/2006/relationships/image" Target="../media/image3.png"/><Relationship Id="rId5" Type="http://schemas.openxmlformats.org/officeDocument/2006/relationships/hyperlink" Target="https://www.gov.uk/government/organisations/natural-england"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Stage 3'!A1"/><Relationship Id="rId7" Type="http://schemas.openxmlformats.org/officeDocument/2006/relationships/hyperlink" Target="#'Stage 4'!A1"/><Relationship Id="rId2" Type="http://schemas.openxmlformats.org/officeDocument/2006/relationships/image" Target="../media/image6.png"/><Relationship Id="rId1" Type="http://schemas.openxmlformats.org/officeDocument/2006/relationships/hyperlink" Target="#'Stage 1'!A1"/><Relationship Id="rId6" Type="http://schemas.openxmlformats.org/officeDocument/2006/relationships/image" Target="../media/image8.png"/><Relationship Id="rId5" Type="http://schemas.openxmlformats.org/officeDocument/2006/relationships/hyperlink" Target="#'Stage 2'!A1"/><Relationship Id="rId10" Type="http://schemas.openxmlformats.org/officeDocument/2006/relationships/image" Target="../media/image11.png"/><Relationship Id="rId4" Type="http://schemas.openxmlformats.org/officeDocument/2006/relationships/image" Target="../media/image7.png"/><Relationship Id="rId9" Type="http://schemas.openxmlformats.org/officeDocument/2006/relationships/image" Target="../media/image10.png"/></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Stage 3'!A1"/><Relationship Id="rId7" Type="http://schemas.openxmlformats.org/officeDocument/2006/relationships/hyperlink" Target="#'Stage 4'!A1"/><Relationship Id="rId2" Type="http://schemas.openxmlformats.org/officeDocument/2006/relationships/image" Target="../media/image6.png"/><Relationship Id="rId1" Type="http://schemas.openxmlformats.org/officeDocument/2006/relationships/hyperlink" Target="#'Stage 1'!A1"/><Relationship Id="rId6" Type="http://schemas.openxmlformats.org/officeDocument/2006/relationships/image" Target="../media/image8.png"/><Relationship Id="rId5" Type="http://schemas.openxmlformats.org/officeDocument/2006/relationships/hyperlink" Target="#'Stage 2'!A1"/><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11</xdr:col>
      <xdr:colOff>342900</xdr:colOff>
      <xdr:row>1</xdr:row>
      <xdr:rowOff>180975</xdr:rowOff>
    </xdr:from>
    <xdr:to>
      <xdr:col>14</xdr:col>
      <xdr:colOff>79375</xdr:colOff>
      <xdr:row>10</xdr:row>
      <xdr:rowOff>219075</xdr:rowOff>
    </xdr:to>
    <xdr:pic>
      <xdr:nvPicPr>
        <xdr:cNvPr id="3" name="Picture 2">
          <a:extLst>
            <a:ext uri="{FF2B5EF4-FFF2-40B4-BE49-F238E27FC236}">
              <a16:creationId xmlns:a16="http://schemas.microsoft.com/office/drawing/2014/main" id="{62D230C3-FE19-46CB-8813-82B8FCA979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rcRect/>
        <a:stretch/>
      </xdr:blipFill>
      <xdr:spPr>
        <a:xfrm>
          <a:off x="4533900" y="542925"/>
          <a:ext cx="4394200" cy="3295650"/>
        </a:xfrm>
        <a:prstGeom prst="rect">
          <a:avLst/>
        </a:prstGeom>
        <a:effectLst>
          <a:outerShdw blurRad="63500" sx="102000" sy="102000" algn="ctr" rotWithShape="0">
            <a:prstClr val="black">
              <a:alpha val="40000"/>
            </a:prstClr>
          </a:outerShdw>
        </a:effectLst>
      </xdr:spPr>
    </xdr:pic>
    <xdr:clientData/>
  </xdr:twoCellAnchor>
  <xdr:twoCellAnchor editAs="oneCell">
    <xdr:from>
      <xdr:col>3</xdr:col>
      <xdr:colOff>0</xdr:colOff>
      <xdr:row>6</xdr:row>
      <xdr:rowOff>0</xdr:rowOff>
    </xdr:from>
    <xdr:to>
      <xdr:col>3</xdr:col>
      <xdr:colOff>304800</xdr:colOff>
      <xdr:row>6</xdr:row>
      <xdr:rowOff>304800</xdr:rowOff>
    </xdr:to>
    <xdr:sp macro="" textlink="">
      <xdr:nvSpPr>
        <xdr:cNvPr id="6146" name="AutoShape 2">
          <a:extLst>
            <a:ext uri="{FF2B5EF4-FFF2-40B4-BE49-F238E27FC236}">
              <a16:creationId xmlns:a16="http://schemas.microsoft.com/office/drawing/2014/main" id="{F3FA525F-6FDB-4BEA-9A2F-1AB579041DD2}"/>
            </a:ext>
          </a:extLst>
        </xdr:cNvPr>
        <xdr:cNvSpPr>
          <a:spLocks noChangeAspect="1" noChangeArrowheads="1"/>
        </xdr:cNvSpPr>
      </xdr:nvSpPr>
      <xdr:spPr bwMode="auto">
        <a:xfrm>
          <a:off x="18288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5</xdr:row>
      <xdr:rowOff>0</xdr:rowOff>
    </xdr:from>
    <xdr:to>
      <xdr:col>5</xdr:col>
      <xdr:colOff>304800</xdr:colOff>
      <xdr:row>5</xdr:row>
      <xdr:rowOff>304800</xdr:rowOff>
    </xdr:to>
    <xdr:sp macro="" textlink="">
      <xdr:nvSpPr>
        <xdr:cNvPr id="6147" name="AutoShape 3">
          <a:extLst>
            <a:ext uri="{FF2B5EF4-FFF2-40B4-BE49-F238E27FC236}">
              <a16:creationId xmlns:a16="http://schemas.microsoft.com/office/drawing/2014/main" id="{B140DEB8-F359-4454-A33D-7ED25CD52F5B}"/>
            </a:ext>
          </a:extLst>
        </xdr:cNvPr>
        <xdr:cNvSpPr>
          <a:spLocks noChangeAspect="1" noChangeArrowheads="1"/>
        </xdr:cNvSpPr>
      </xdr:nvSpPr>
      <xdr:spPr bwMode="auto">
        <a:xfrm>
          <a:off x="3048000" y="95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38100</xdr:colOff>
      <xdr:row>1</xdr:row>
      <xdr:rowOff>152400</xdr:rowOff>
    </xdr:from>
    <xdr:to>
      <xdr:col>10</xdr:col>
      <xdr:colOff>346496</xdr:colOff>
      <xdr:row>4</xdr:row>
      <xdr:rowOff>275931</xdr:rowOff>
    </xdr:to>
    <xdr:pic>
      <xdr:nvPicPr>
        <xdr:cNvPr id="7" name="Picture 6">
          <a:hlinkClick xmlns:r="http://schemas.openxmlformats.org/officeDocument/2006/relationships" r:id="rId3"/>
          <a:extLst>
            <a:ext uri="{FF2B5EF4-FFF2-40B4-BE49-F238E27FC236}">
              <a16:creationId xmlns:a16="http://schemas.microsoft.com/office/drawing/2014/main" id="{A94DD4AD-3EEA-416C-B2EF-2E02AD19056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24100" y="514350"/>
          <a:ext cx="1832396" cy="1209381"/>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180976</xdr:colOff>
      <xdr:row>1</xdr:row>
      <xdr:rowOff>180975</xdr:rowOff>
    </xdr:from>
    <xdr:to>
      <xdr:col>4</xdr:col>
      <xdr:colOff>180975</xdr:colOff>
      <xdr:row>4</xdr:row>
      <xdr:rowOff>240510</xdr:rowOff>
    </xdr:to>
    <xdr:pic>
      <xdr:nvPicPr>
        <xdr:cNvPr id="10" name="Picture 9">
          <a:hlinkClick xmlns:r="http://schemas.openxmlformats.org/officeDocument/2006/relationships" r:id="rId5"/>
          <a:extLst>
            <a:ext uri="{FF2B5EF4-FFF2-40B4-BE49-F238E27FC236}">
              <a16:creationId xmlns:a16="http://schemas.microsoft.com/office/drawing/2014/main" id="{E2204205-FAF5-4B6B-A86F-01A92D2D6BB3}"/>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3333" t="2000" r="23445" b="2000"/>
        <a:stretch/>
      </xdr:blipFill>
      <xdr:spPr bwMode="auto">
        <a:xfrm>
          <a:off x="561976" y="542925"/>
          <a:ext cx="1142999" cy="1145385"/>
        </a:xfrm>
        <a:prstGeom prst="rect">
          <a:avLst/>
        </a:prstGeom>
        <a:noFill/>
        <a:effectLst>
          <a:outerShdw blurRad="63500" sx="102000" sy="102000" algn="ctr"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200024</xdr:colOff>
      <xdr:row>5</xdr:row>
      <xdr:rowOff>133351</xdr:rowOff>
    </xdr:from>
    <xdr:to>
      <xdr:col>11</xdr:col>
      <xdr:colOff>76199</xdr:colOff>
      <xdr:row>7</xdr:row>
      <xdr:rowOff>76200</xdr:rowOff>
    </xdr:to>
    <xdr:sp macro="" textlink="">
      <xdr:nvSpPr>
        <xdr:cNvPr id="8" name="TextBox 7">
          <a:extLst>
            <a:ext uri="{FF2B5EF4-FFF2-40B4-BE49-F238E27FC236}">
              <a16:creationId xmlns:a16="http://schemas.microsoft.com/office/drawing/2014/main" id="{2BC5E90D-F7DB-474F-BF74-1B4BF980360F}"/>
            </a:ext>
          </a:extLst>
        </xdr:cNvPr>
        <xdr:cNvSpPr txBox="1"/>
      </xdr:nvSpPr>
      <xdr:spPr>
        <a:xfrm>
          <a:off x="581024" y="1943101"/>
          <a:ext cx="3686175"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a:latin typeface="Century Gothic" panose="020B0502020202020204" pitchFamily="34" charset="0"/>
              <a:ea typeface="Segoe UI" panose="020B0502040204020203" pitchFamily="34" charset="0"/>
              <a:cs typeface="Segoe UI" panose="020B0502040204020203" pitchFamily="34" charset="0"/>
            </a:rPr>
            <a:t>Nutrient Neutrality Budget Calculator </a:t>
          </a: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3</xdr:col>
      <xdr:colOff>38100</xdr:colOff>
      <xdr:row>8</xdr:row>
      <xdr:rowOff>314326</xdr:rowOff>
    </xdr:from>
    <xdr:to>
      <xdr:col>9</xdr:col>
      <xdr:colOff>133350</xdr:colOff>
      <xdr:row>9</xdr:row>
      <xdr:rowOff>348376</xdr:rowOff>
    </xdr:to>
    <xdr:sp macro="" textlink="">
      <xdr:nvSpPr>
        <xdr:cNvPr id="16" name="TextBox 15">
          <a:hlinkClick xmlns:r="http://schemas.openxmlformats.org/officeDocument/2006/relationships" r:id="rId7"/>
          <a:extLst>
            <a:ext uri="{FF2B5EF4-FFF2-40B4-BE49-F238E27FC236}">
              <a16:creationId xmlns:a16="http://schemas.microsoft.com/office/drawing/2014/main" id="{DA266339-9600-4E62-B26B-3BF11ACB0CB9}"/>
            </a:ext>
          </a:extLst>
        </xdr:cNvPr>
        <xdr:cNvSpPr txBox="1"/>
      </xdr:nvSpPr>
      <xdr:spPr>
        <a:xfrm>
          <a:off x="1181100" y="3209926"/>
          <a:ext cx="2381250" cy="396000"/>
        </a:xfrm>
        <a:prstGeom prst="rect">
          <a:avLst/>
        </a:prstGeom>
        <a:solidFill>
          <a:schemeClr val="lt1"/>
        </a:solidFill>
        <a:ln w="38100" cmpd="sng">
          <a:solidFill>
            <a:srgbClr val="44966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a:solidFill>
                <a:srgbClr val="449669"/>
              </a:solidFill>
              <a:effectLst/>
              <a:latin typeface="Century Gothic" panose="020B0502020202020204" pitchFamily="34" charset="0"/>
              <a:ea typeface="+mn-ea"/>
              <a:cs typeface="+mn-cs"/>
            </a:rPr>
            <a:t>River Wensum SAC</a:t>
          </a:r>
        </a:p>
        <a:p>
          <a:pPr algn="ctr"/>
          <a:r>
            <a:rPr lang="en-GB" sz="1800" b="1">
              <a:solidFill>
                <a:srgbClr val="449669"/>
              </a:solidFill>
              <a:effectLst/>
              <a:latin typeface="+mn-lt"/>
              <a:ea typeface="+mn-ea"/>
              <a:cs typeface="+mn-cs"/>
            </a:rPr>
            <a:t> </a:t>
          </a:r>
          <a:endParaRPr lang="en-GB" sz="1800" b="1">
            <a:solidFill>
              <a:srgbClr val="449669"/>
            </a:solidFill>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2</xdr:col>
      <xdr:colOff>209550</xdr:colOff>
      <xdr:row>5</xdr:row>
      <xdr:rowOff>66675</xdr:rowOff>
    </xdr:from>
    <xdr:to>
      <xdr:col>10</xdr:col>
      <xdr:colOff>57150</xdr:colOff>
      <xdr:row>5</xdr:row>
      <xdr:rowOff>66675</xdr:rowOff>
    </xdr:to>
    <xdr:cxnSp macro="">
      <xdr:nvCxnSpPr>
        <xdr:cNvPr id="14" name="Straight Connector 13">
          <a:extLst>
            <a:ext uri="{FF2B5EF4-FFF2-40B4-BE49-F238E27FC236}">
              <a16:creationId xmlns:a16="http://schemas.microsoft.com/office/drawing/2014/main" id="{FF16E9BF-5BA5-45AD-84A2-D9613662D088}"/>
            </a:ext>
          </a:extLst>
        </xdr:cNvPr>
        <xdr:cNvCxnSpPr/>
      </xdr:nvCxnSpPr>
      <xdr:spPr>
        <a:xfrm>
          <a:off x="971550" y="1876425"/>
          <a:ext cx="2895600"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200025</xdr:colOff>
      <xdr:row>10</xdr:row>
      <xdr:rowOff>171450</xdr:rowOff>
    </xdr:from>
    <xdr:to>
      <xdr:col>10</xdr:col>
      <xdr:colOff>47625</xdr:colOff>
      <xdr:row>10</xdr:row>
      <xdr:rowOff>171450</xdr:rowOff>
    </xdr:to>
    <xdr:cxnSp macro="">
      <xdr:nvCxnSpPr>
        <xdr:cNvPr id="19" name="Straight Connector 18">
          <a:extLst>
            <a:ext uri="{FF2B5EF4-FFF2-40B4-BE49-F238E27FC236}">
              <a16:creationId xmlns:a16="http://schemas.microsoft.com/office/drawing/2014/main" id="{3FC5B5CB-450A-4E2A-89F6-BD0FC229810C}"/>
            </a:ext>
          </a:extLst>
        </xdr:cNvPr>
        <xdr:cNvCxnSpPr/>
      </xdr:nvCxnSpPr>
      <xdr:spPr>
        <a:xfrm>
          <a:off x="962025" y="3790950"/>
          <a:ext cx="2895600"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xdr:colOff>
      <xdr:row>7</xdr:row>
      <xdr:rowOff>76201</xdr:rowOff>
    </xdr:from>
    <xdr:to>
      <xdr:col>10</xdr:col>
      <xdr:colOff>104775</xdr:colOff>
      <xdr:row>9</xdr:row>
      <xdr:rowOff>9525</xdr:rowOff>
    </xdr:to>
    <xdr:sp macro="" textlink="">
      <xdr:nvSpPr>
        <xdr:cNvPr id="20" name="TextBox 19">
          <a:extLst>
            <a:ext uri="{FF2B5EF4-FFF2-40B4-BE49-F238E27FC236}">
              <a16:creationId xmlns:a16="http://schemas.microsoft.com/office/drawing/2014/main" id="{19D50B77-7D40-4832-A893-F919EAE1C2A1}"/>
            </a:ext>
          </a:extLst>
        </xdr:cNvPr>
        <xdr:cNvSpPr txBox="1"/>
      </xdr:nvSpPr>
      <xdr:spPr>
        <a:xfrm>
          <a:off x="933450" y="2609851"/>
          <a:ext cx="2981325" cy="657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b="1">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rPr>
            <a:t>a</a:t>
          </a:r>
          <a:r>
            <a:rPr lang="en-GB" sz="1200" b="1" baseline="0">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rPr>
            <a:t> tool for assessing the nutrient loading to a Habitats Site</a:t>
          </a:r>
          <a:endParaRPr lang="en-GB" sz="1200" b="1">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273842</xdr:colOff>
      <xdr:row>9</xdr:row>
      <xdr:rowOff>0</xdr:rowOff>
    </xdr:from>
    <xdr:to>
      <xdr:col>12</xdr:col>
      <xdr:colOff>133349</xdr:colOff>
      <xdr:row>31</xdr:row>
      <xdr:rowOff>97185</xdr:rowOff>
    </xdr:to>
    <xdr:pic>
      <xdr:nvPicPr>
        <xdr:cNvPr id="2" name="Picture 1">
          <a:extLst>
            <a:ext uri="{FF2B5EF4-FFF2-40B4-BE49-F238E27FC236}">
              <a16:creationId xmlns:a16="http://schemas.microsoft.com/office/drawing/2014/main" id="{8958D7F3-D50E-4FEF-B378-1F252A3A4E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30" r="330"/>
        <a:stretch/>
      </xdr:blipFill>
      <xdr:spPr>
        <a:xfrm>
          <a:off x="883442" y="2733675"/>
          <a:ext cx="6565107" cy="4288185"/>
        </a:xfrm>
        <a:prstGeom prst="rect">
          <a:avLst/>
        </a:prstGeom>
      </xdr:spPr>
    </xdr:pic>
    <xdr:clientData/>
  </xdr:twoCellAnchor>
  <xdr:twoCellAnchor>
    <xdr:from>
      <xdr:col>1</xdr:col>
      <xdr:colOff>107154</xdr:colOff>
      <xdr:row>9</xdr:row>
      <xdr:rowOff>71428</xdr:rowOff>
    </xdr:from>
    <xdr:to>
      <xdr:col>2</xdr:col>
      <xdr:colOff>288129</xdr:colOff>
      <xdr:row>12</xdr:row>
      <xdr:rowOff>23803</xdr:rowOff>
    </xdr:to>
    <xdr:sp macro="" textlink="">
      <xdr:nvSpPr>
        <xdr:cNvPr id="3" name="TextBox 2">
          <a:extLst>
            <a:ext uri="{FF2B5EF4-FFF2-40B4-BE49-F238E27FC236}">
              <a16:creationId xmlns:a16="http://schemas.microsoft.com/office/drawing/2014/main" id="{3436683C-4246-4D40-99FF-09FB1F1D095C}"/>
            </a:ext>
          </a:extLst>
        </xdr:cNvPr>
        <xdr:cNvSpPr txBox="1"/>
      </xdr:nvSpPr>
      <xdr:spPr>
        <a:xfrm>
          <a:off x="748504" y="2770178"/>
          <a:ext cx="8223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Figure 1:</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9526</xdr:colOff>
      <xdr:row>4</xdr:row>
      <xdr:rowOff>4207</xdr:rowOff>
    </xdr:from>
    <xdr:to>
      <xdr:col>30</xdr:col>
      <xdr:colOff>200025</xdr:colOff>
      <xdr:row>14</xdr:row>
      <xdr:rowOff>159976</xdr:rowOff>
    </xdr:to>
    <xdr:pic>
      <xdr:nvPicPr>
        <xdr:cNvPr id="2" name="Picture 1">
          <a:extLst>
            <a:ext uri="{FF2B5EF4-FFF2-40B4-BE49-F238E27FC236}">
              <a16:creationId xmlns:a16="http://schemas.microsoft.com/office/drawing/2014/main" id="{6586DDE1-F0CA-4DB0-82E5-B46767E289C9}"/>
            </a:ext>
          </a:extLst>
        </xdr:cNvPr>
        <xdr:cNvPicPr>
          <a:picLocks noChangeAspect="1"/>
        </xdr:cNvPicPr>
      </xdr:nvPicPr>
      <xdr:blipFill>
        <a:blip xmlns:r="http://schemas.openxmlformats.org/officeDocument/2006/relationships" r:embed="rId1"/>
        <a:stretch>
          <a:fillRect/>
        </a:stretch>
      </xdr:blipFill>
      <xdr:spPr>
        <a:xfrm>
          <a:off x="8048626" y="775732"/>
          <a:ext cx="7086599" cy="5108769"/>
        </a:xfrm>
        <a:prstGeom prst="rect">
          <a:avLst/>
        </a:prstGeom>
        <a:ln w="28575">
          <a:solidFill>
            <a:srgbClr val="449669"/>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98066</xdr:colOff>
      <xdr:row>13</xdr:row>
      <xdr:rowOff>174224</xdr:rowOff>
    </xdr:from>
    <xdr:to>
      <xdr:col>4</xdr:col>
      <xdr:colOff>564810</xdr:colOff>
      <xdr:row>17</xdr:row>
      <xdr:rowOff>148570</xdr:rowOff>
    </xdr:to>
    <xdr:sp macro="" textlink="">
      <xdr:nvSpPr>
        <xdr:cNvPr id="2" name="TextBox 7">
          <a:extLst>
            <a:ext uri="{FF2B5EF4-FFF2-40B4-BE49-F238E27FC236}">
              <a16:creationId xmlns:a16="http://schemas.microsoft.com/office/drawing/2014/main" id="{682CAD87-59B1-47E9-97E1-3BAA34828CA9}"/>
            </a:ext>
          </a:extLst>
        </xdr:cNvPr>
        <xdr:cNvSpPr txBox="1"/>
      </xdr:nvSpPr>
      <xdr:spPr>
        <a:xfrm>
          <a:off x="2142766" y="2498324"/>
          <a:ext cx="1108094" cy="7109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1</a:t>
          </a:r>
        </a:p>
        <a:p>
          <a:r>
            <a:rPr lang="en-GB" sz="1100" b="0">
              <a:latin typeface="Arial" panose="020B0604020202020204" pitchFamily="34" charset="0"/>
              <a:cs typeface="Arial" panose="020B0604020202020204" pitchFamily="34" charset="0"/>
            </a:rPr>
            <a:t>Nutrient loading from additional wastewater </a:t>
          </a:r>
        </a:p>
      </xdr:txBody>
    </xdr:sp>
    <xdr:clientData/>
  </xdr:twoCellAnchor>
  <xdr:twoCellAnchor>
    <xdr:from>
      <xdr:col>5</xdr:col>
      <xdr:colOff>73920</xdr:colOff>
      <xdr:row>13</xdr:row>
      <xdr:rowOff>183749</xdr:rowOff>
    </xdr:from>
    <xdr:to>
      <xdr:col>6</xdr:col>
      <xdr:colOff>542130</xdr:colOff>
      <xdr:row>17</xdr:row>
      <xdr:rowOff>158095</xdr:rowOff>
    </xdr:to>
    <xdr:sp macro="" textlink="">
      <xdr:nvSpPr>
        <xdr:cNvPr id="3" name="TextBox 14">
          <a:extLst>
            <a:ext uri="{FF2B5EF4-FFF2-40B4-BE49-F238E27FC236}">
              <a16:creationId xmlns:a16="http://schemas.microsoft.com/office/drawing/2014/main" id="{899461AB-AF5F-4640-9CAC-089776F458A5}"/>
            </a:ext>
          </a:extLst>
        </xdr:cNvPr>
        <xdr:cNvSpPr txBox="1"/>
      </xdr:nvSpPr>
      <xdr:spPr>
        <a:xfrm>
          <a:off x="3401320" y="2507849"/>
          <a:ext cx="1109560" cy="7109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2</a:t>
          </a:r>
        </a:p>
        <a:p>
          <a:r>
            <a:rPr lang="en-GB" sz="1100">
              <a:latin typeface="Arial" panose="020B0604020202020204" pitchFamily="34" charset="0"/>
              <a:cs typeface="Arial" panose="020B0604020202020204" pitchFamily="34" charset="0"/>
            </a:rPr>
            <a:t>Nutrient loading from current land use</a:t>
          </a:r>
        </a:p>
      </xdr:txBody>
    </xdr:sp>
    <xdr:clientData/>
  </xdr:twoCellAnchor>
  <xdr:twoCellAnchor>
    <xdr:from>
      <xdr:col>7</xdr:col>
      <xdr:colOff>62963</xdr:colOff>
      <xdr:row>13</xdr:row>
      <xdr:rowOff>183749</xdr:rowOff>
    </xdr:from>
    <xdr:to>
      <xdr:col>8</xdr:col>
      <xdr:colOff>529708</xdr:colOff>
      <xdr:row>17</xdr:row>
      <xdr:rowOff>158095</xdr:rowOff>
    </xdr:to>
    <xdr:sp macro="" textlink="">
      <xdr:nvSpPr>
        <xdr:cNvPr id="4" name="TextBox 15">
          <a:extLst>
            <a:ext uri="{FF2B5EF4-FFF2-40B4-BE49-F238E27FC236}">
              <a16:creationId xmlns:a16="http://schemas.microsoft.com/office/drawing/2014/main" id="{DECE9C8C-27EC-43F5-89A6-E0F4DFA61131}"/>
            </a:ext>
          </a:extLst>
        </xdr:cNvPr>
        <xdr:cNvSpPr txBox="1"/>
      </xdr:nvSpPr>
      <xdr:spPr>
        <a:xfrm>
          <a:off x="4673063" y="2507849"/>
          <a:ext cx="1108095" cy="7109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3</a:t>
          </a:r>
        </a:p>
        <a:p>
          <a:r>
            <a:rPr lang="en-GB" sz="1100">
              <a:latin typeface="Arial" panose="020B0604020202020204" pitchFamily="34" charset="0"/>
              <a:cs typeface="Arial" panose="020B0604020202020204" pitchFamily="34" charset="0"/>
            </a:rPr>
            <a:t>Nutrient loading from future land use</a:t>
          </a:r>
        </a:p>
      </xdr:txBody>
    </xdr:sp>
    <xdr:clientData/>
  </xdr:twoCellAnchor>
  <xdr:twoCellAnchor>
    <xdr:from>
      <xdr:col>9</xdr:col>
      <xdr:colOff>48338</xdr:colOff>
      <xdr:row>14</xdr:row>
      <xdr:rowOff>12299</xdr:rowOff>
    </xdr:from>
    <xdr:to>
      <xdr:col>10</xdr:col>
      <xdr:colOff>515083</xdr:colOff>
      <xdr:row>17</xdr:row>
      <xdr:rowOff>13575</xdr:rowOff>
    </xdr:to>
    <xdr:sp macro="" textlink="">
      <xdr:nvSpPr>
        <xdr:cNvPr id="5" name="TextBox 16">
          <a:extLst>
            <a:ext uri="{FF2B5EF4-FFF2-40B4-BE49-F238E27FC236}">
              <a16:creationId xmlns:a16="http://schemas.microsoft.com/office/drawing/2014/main" id="{FA061A92-98B7-47C1-BF45-C1974E160FAF}"/>
            </a:ext>
          </a:extLst>
        </xdr:cNvPr>
        <xdr:cNvSpPr txBox="1"/>
      </xdr:nvSpPr>
      <xdr:spPr>
        <a:xfrm>
          <a:off x="5941138" y="2520549"/>
          <a:ext cx="1108095" cy="55372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4</a:t>
          </a:r>
        </a:p>
        <a:p>
          <a:r>
            <a:rPr lang="en-GB" sz="1100">
              <a:latin typeface="Arial" panose="020B0604020202020204" pitchFamily="34" charset="0"/>
              <a:cs typeface="Arial" panose="020B0604020202020204" pitchFamily="34" charset="0"/>
            </a:rPr>
            <a:t>Nutrient budget calculation</a:t>
          </a:r>
        </a:p>
      </xdr:txBody>
    </xdr:sp>
    <xdr:clientData/>
  </xdr:twoCellAnchor>
  <xdr:twoCellAnchor editAs="oneCell">
    <xdr:from>
      <xdr:col>3</xdr:col>
      <xdr:colOff>0</xdr:colOff>
      <xdr:row>8</xdr:row>
      <xdr:rowOff>123826</xdr:rowOff>
    </xdr:from>
    <xdr:to>
      <xdr:col>5</xdr:col>
      <xdr:colOff>66676</xdr:colOff>
      <xdr:row>14</xdr:row>
      <xdr:rowOff>35163</xdr:rowOff>
    </xdr:to>
    <xdr:pic>
      <xdr:nvPicPr>
        <xdr:cNvPr id="6" name="Picture 5">
          <a:hlinkClick xmlns:r="http://schemas.openxmlformats.org/officeDocument/2006/relationships" r:id="rId1"/>
          <a:extLst>
            <a:ext uri="{FF2B5EF4-FFF2-40B4-BE49-F238E27FC236}">
              <a16:creationId xmlns:a16="http://schemas.microsoft.com/office/drawing/2014/main" id="{1FE9EBD5-972E-410F-B0FD-86D70E9065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4700" y="1527176"/>
          <a:ext cx="1346201" cy="1000362"/>
        </a:xfrm>
        <a:prstGeom prst="rect">
          <a:avLst/>
        </a:prstGeom>
      </xdr:spPr>
    </xdr:pic>
    <xdr:clientData/>
  </xdr:twoCellAnchor>
  <xdr:twoCellAnchor editAs="oneCell">
    <xdr:from>
      <xdr:col>6</xdr:col>
      <xdr:colOff>569393</xdr:colOff>
      <xdr:row>8</xdr:row>
      <xdr:rowOff>121426</xdr:rowOff>
    </xdr:from>
    <xdr:to>
      <xdr:col>9</xdr:col>
      <xdr:colOff>36288</xdr:colOff>
      <xdr:row>14</xdr:row>
      <xdr:rowOff>29656</xdr:rowOff>
    </xdr:to>
    <xdr:pic>
      <xdr:nvPicPr>
        <xdr:cNvPr id="7" name="Picture 6">
          <a:hlinkClick xmlns:r="http://schemas.openxmlformats.org/officeDocument/2006/relationships" r:id="rId3"/>
          <a:extLst>
            <a:ext uri="{FF2B5EF4-FFF2-40B4-BE49-F238E27FC236}">
              <a16:creationId xmlns:a16="http://schemas.microsoft.com/office/drawing/2014/main" id="{4CAB4B25-BF21-48CD-A204-6108B09AF26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38143" y="1524776"/>
          <a:ext cx="1381420" cy="994080"/>
        </a:xfrm>
        <a:prstGeom prst="rect">
          <a:avLst/>
        </a:prstGeom>
      </xdr:spPr>
    </xdr:pic>
    <xdr:clientData/>
  </xdr:twoCellAnchor>
  <xdr:twoCellAnchor editAs="oneCell">
    <xdr:from>
      <xdr:col>4</xdr:col>
      <xdr:colOff>586978</xdr:colOff>
      <xdr:row>8</xdr:row>
      <xdr:rowOff>0</xdr:rowOff>
    </xdr:from>
    <xdr:to>
      <xdr:col>7</xdr:col>
      <xdr:colOff>56113</xdr:colOff>
      <xdr:row>13</xdr:row>
      <xdr:rowOff>85739</xdr:rowOff>
    </xdr:to>
    <xdr:pic>
      <xdr:nvPicPr>
        <xdr:cNvPr id="8" name="Picture 7">
          <a:hlinkClick xmlns:r="http://schemas.openxmlformats.org/officeDocument/2006/relationships" r:id="rId5"/>
          <a:extLst>
            <a:ext uri="{FF2B5EF4-FFF2-40B4-BE49-F238E27FC236}">
              <a16:creationId xmlns:a16="http://schemas.microsoft.com/office/drawing/2014/main" id="{4C780BC5-A01A-4AD8-9915-FC721E621BA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273028" y="1403350"/>
          <a:ext cx="1386835" cy="987439"/>
        </a:xfrm>
        <a:prstGeom prst="rect">
          <a:avLst/>
        </a:prstGeom>
      </xdr:spPr>
    </xdr:pic>
    <xdr:clientData/>
  </xdr:twoCellAnchor>
  <xdr:twoCellAnchor editAs="oneCell">
    <xdr:from>
      <xdr:col>8</xdr:col>
      <xdr:colOff>552868</xdr:colOff>
      <xdr:row>8</xdr:row>
      <xdr:rowOff>0</xdr:rowOff>
    </xdr:from>
    <xdr:to>
      <xdr:col>11</xdr:col>
      <xdr:colOff>28313</xdr:colOff>
      <xdr:row>13</xdr:row>
      <xdr:rowOff>86194</xdr:rowOff>
    </xdr:to>
    <xdr:pic>
      <xdr:nvPicPr>
        <xdr:cNvPr id="9" name="Picture 8">
          <a:hlinkClick xmlns:r="http://schemas.openxmlformats.org/officeDocument/2006/relationships" r:id="rId7"/>
          <a:extLst>
            <a:ext uri="{FF2B5EF4-FFF2-40B4-BE49-F238E27FC236}">
              <a16:creationId xmlns:a16="http://schemas.microsoft.com/office/drawing/2014/main" id="{7E43D785-8D5D-46D0-8F4C-0DE89F39074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804318" y="1403350"/>
          <a:ext cx="1393145" cy="994244"/>
        </a:xfrm>
        <a:prstGeom prst="rect">
          <a:avLst/>
        </a:prstGeom>
      </xdr:spPr>
    </xdr:pic>
    <xdr:clientData/>
  </xdr:twoCellAnchor>
  <xdr:twoCellAnchor editAs="oneCell">
    <xdr:from>
      <xdr:col>0</xdr:col>
      <xdr:colOff>373254</xdr:colOff>
      <xdr:row>66</xdr:row>
      <xdr:rowOff>99703</xdr:rowOff>
    </xdr:from>
    <xdr:to>
      <xdr:col>12</xdr:col>
      <xdr:colOff>523876</xdr:colOff>
      <xdr:row>70</xdr:row>
      <xdr:rowOff>256081</xdr:rowOff>
    </xdr:to>
    <xdr:pic>
      <xdr:nvPicPr>
        <xdr:cNvPr id="10" name="Picture 9">
          <a:extLst>
            <a:ext uri="{FF2B5EF4-FFF2-40B4-BE49-F238E27FC236}">
              <a16:creationId xmlns:a16="http://schemas.microsoft.com/office/drawing/2014/main" id="{E35FFBF4-6B31-4E31-8FDB-FFEA36BDD7A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73254" y="17593953"/>
          <a:ext cx="7938897" cy="1794678"/>
        </a:xfrm>
        <a:prstGeom prst="rect">
          <a:avLst/>
        </a:prstGeom>
      </xdr:spPr>
    </xdr:pic>
    <xdr:clientData/>
  </xdr:twoCellAnchor>
  <xdr:twoCellAnchor editAs="oneCell">
    <xdr:from>
      <xdr:col>2</xdr:col>
      <xdr:colOff>561977</xdr:colOff>
      <xdr:row>27</xdr:row>
      <xdr:rowOff>104779</xdr:rowOff>
    </xdr:from>
    <xdr:to>
      <xdr:col>11</xdr:col>
      <xdr:colOff>101906</xdr:colOff>
      <xdr:row>35</xdr:row>
      <xdr:rowOff>428625</xdr:rowOff>
    </xdr:to>
    <xdr:pic>
      <xdr:nvPicPr>
        <xdr:cNvPr id="11" name="Picture 10">
          <a:extLst>
            <a:ext uri="{FF2B5EF4-FFF2-40B4-BE49-F238E27FC236}">
              <a16:creationId xmlns:a16="http://schemas.microsoft.com/office/drawing/2014/main" id="{64E15AE0-2E4A-45C8-9499-62B45BC708BE}"/>
            </a:ext>
          </a:extLst>
        </xdr:cNvPr>
        <xdr:cNvPicPr>
          <a:picLocks noChangeAspect="1"/>
        </xdr:cNvPicPr>
      </xdr:nvPicPr>
      <xdr:blipFill rotWithShape="1">
        <a:blip xmlns:r="http://schemas.openxmlformats.org/officeDocument/2006/relationships" r:embed="rId10"/>
        <a:srcRect l="51428" t="38163" r="34591" b="44722"/>
        <a:stretch/>
      </xdr:blipFill>
      <xdr:spPr>
        <a:xfrm>
          <a:off x="1844677" y="5127629"/>
          <a:ext cx="5407329" cy="17144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xdr:row>
      <xdr:rowOff>57149</xdr:rowOff>
    </xdr:from>
    <xdr:to>
      <xdr:col>3</xdr:col>
      <xdr:colOff>0</xdr:colOff>
      <xdr:row>4</xdr:row>
      <xdr:rowOff>72149</xdr:rowOff>
    </xdr:to>
    <xdr:sp macro="" textlink="">
      <xdr:nvSpPr>
        <xdr:cNvPr id="2" name="TextBox 1">
          <a:extLst>
            <a:ext uri="{FF2B5EF4-FFF2-40B4-BE49-F238E27FC236}">
              <a16:creationId xmlns:a16="http://schemas.microsoft.com/office/drawing/2014/main" id="{F6659CFF-5286-40D7-98F4-B757E28119DB}"/>
            </a:ext>
          </a:extLst>
        </xdr:cNvPr>
        <xdr:cNvSpPr txBox="1"/>
      </xdr:nvSpPr>
      <xdr:spPr>
        <a:xfrm>
          <a:off x="628650" y="438149"/>
          <a:ext cx="3629025" cy="396000"/>
        </a:xfrm>
        <a:prstGeom prst="rect">
          <a:avLst/>
        </a:prstGeom>
        <a:solidFill>
          <a:schemeClr val="lt1"/>
        </a:solidFill>
        <a:ln w="38100" cmpd="sng">
          <a:solidFill>
            <a:srgbClr val="44966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800" b="1">
              <a:solidFill>
                <a:srgbClr val="449669"/>
              </a:solidFill>
              <a:effectLst/>
              <a:latin typeface="Century Gothic" panose="020B0502020202020204" pitchFamily="34" charset="0"/>
              <a:ea typeface="+mn-ea"/>
              <a:cs typeface="+mn-cs"/>
            </a:rPr>
            <a:t>Stage</a:t>
          </a:r>
          <a:r>
            <a:rPr lang="en-GB" sz="1800" b="1" baseline="0">
              <a:solidFill>
                <a:srgbClr val="449669"/>
              </a:solidFill>
              <a:effectLst/>
              <a:latin typeface="Century Gothic" panose="020B0502020202020204" pitchFamily="34" charset="0"/>
              <a:ea typeface="+mn-ea"/>
              <a:cs typeface="+mn-cs"/>
            </a:rPr>
            <a:t> 4</a:t>
          </a: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0</xdr:col>
      <xdr:colOff>552450</xdr:colOff>
      <xdr:row>4</xdr:row>
      <xdr:rowOff>180975</xdr:rowOff>
    </xdr:from>
    <xdr:to>
      <xdr:col>3</xdr:col>
      <xdr:colOff>66675</xdr:colOff>
      <xdr:row>6</xdr:row>
      <xdr:rowOff>133349</xdr:rowOff>
    </xdr:to>
    <xdr:sp macro="" textlink="">
      <xdr:nvSpPr>
        <xdr:cNvPr id="3" name="TextBox 2">
          <a:extLst>
            <a:ext uri="{FF2B5EF4-FFF2-40B4-BE49-F238E27FC236}">
              <a16:creationId xmlns:a16="http://schemas.microsoft.com/office/drawing/2014/main" id="{DC6F458F-5243-4801-8D6D-68E79E45F72B}"/>
            </a:ext>
          </a:extLst>
        </xdr:cNvPr>
        <xdr:cNvSpPr txBox="1"/>
      </xdr:nvSpPr>
      <xdr:spPr>
        <a:xfrm>
          <a:off x="552450" y="942975"/>
          <a:ext cx="3771900" cy="361949"/>
        </a:xfrm>
        <a:prstGeom prst="rect">
          <a:avLst/>
        </a:prstGeom>
        <a:solidFill>
          <a:schemeClr val="lt1"/>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ysClr val="windowText" lastClr="000000"/>
              </a:solidFill>
              <a:effectLst/>
              <a:latin typeface="Century Gothic" panose="020B0502020202020204" pitchFamily="34" charset="0"/>
              <a:ea typeface="+mn-ea"/>
              <a:cs typeface="+mn-cs"/>
            </a:rPr>
            <a:t>Calculated</a:t>
          </a:r>
          <a:r>
            <a:rPr lang="en-GB" sz="1200" b="1" baseline="0">
              <a:solidFill>
                <a:sysClr val="windowText" lastClr="000000"/>
              </a:solidFill>
              <a:effectLst/>
              <a:latin typeface="Century Gothic" panose="020B0502020202020204" pitchFamily="34" charset="0"/>
              <a:ea typeface="+mn-ea"/>
              <a:cs typeface="+mn-cs"/>
            </a:rPr>
            <a:t> </a:t>
          </a:r>
          <a:r>
            <a:rPr lang="en-GB" sz="1200" b="1">
              <a:solidFill>
                <a:sysClr val="windowText" lastClr="000000"/>
              </a:solidFill>
              <a:effectLst/>
              <a:latin typeface="Century Gothic" panose="020B0502020202020204" pitchFamily="34" charset="0"/>
              <a:ea typeface="+mn-ea"/>
              <a:cs typeface="+mn-cs"/>
            </a:rPr>
            <a:t>Outputs</a:t>
          </a:r>
          <a:endParaRPr lang="en-GB" sz="1200" b="1">
            <a:solidFill>
              <a:sysClr val="windowText" lastClr="000000"/>
            </a:solidFill>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1</xdr:col>
      <xdr:colOff>1558556</xdr:colOff>
      <xdr:row>5</xdr:row>
      <xdr:rowOff>19050</xdr:rowOff>
    </xdr:from>
    <xdr:to>
      <xdr:col>2</xdr:col>
      <xdr:colOff>257618</xdr:colOff>
      <xdr:row>5</xdr:row>
      <xdr:rowOff>19050</xdr:rowOff>
    </xdr:to>
    <xdr:cxnSp macro="">
      <xdr:nvCxnSpPr>
        <xdr:cNvPr id="4" name="Straight Connector 3">
          <a:extLst>
            <a:ext uri="{FF2B5EF4-FFF2-40B4-BE49-F238E27FC236}">
              <a16:creationId xmlns:a16="http://schemas.microsoft.com/office/drawing/2014/main" id="{935094C3-62FA-4563-A21D-C0A8CA6D4D15}"/>
            </a:ext>
          </a:extLst>
        </xdr:cNvPr>
        <xdr:cNvCxnSpPr/>
      </xdr:nvCxnSpPr>
      <xdr:spPr>
        <a:xfrm>
          <a:off x="2168156" y="971550"/>
          <a:ext cx="556437"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1558556</xdr:colOff>
      <xdr:row>6</xdr:row>
      <xdr:rowOff>95250</xdr:rowOff>
    </xdr:from>
    <xdr:to>
      <xdr:col>2</xdr:col>
      <xdr:colOff>257618</xdr:colOff>
      <xdr:row>6</xdr:row>
      <xdr:rowOff>95250</xdr:rowOff>
    </xdr:to>
    <xdr:cxnSp macro="">
      <xdr:nvCxnSpPr>
        <xdr:cNvPr id="5" name="Straight Connector 4">
          <a:extLst>
            <a:ext uri="{FF2B5EF4-FFF2-40B4-BE49-F238E27FC236}">
              <a16:creationId xmlns:a16="http://schemas.microsoft.com/office/drawing/2014/main" id="{4BE1D860-027E-463E-9523-BF967B628009}"/>
            </a:ext>
          </a:extLst>
        </xdr:cNvPr>
        <xdr:cNvCxnSpPr/>
      </xdr:nvCxnSpPr>
      <xdr:spPr>
        <a:xfrm>
          <a:off x="2168156" y="1266825"/>
          <a:ext cx="556437"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174266</xdr:colOff>
      <xdr:row>18</xdr:row>
      <xdr:rowOff>69449</xdr:rowOff>
    </xdr:from>
    <xdr:to>
      <xdr:col>10</xdr:col>
      <xdr:colOff>164760</xdr:colOff>
      <xdr:row>20</xdr:row>
      <xdr:rowOff>28450</xdr:rowOff>
    </xdr:to>
    <xdr:sp macro="" textlink="">
      <xdr:nvSpPr>
        <xdr:cNvPr id="6" name="TextBox 7">
          <a:extLst>
            <a:ext uri="{FF2B5EF4-FFF2-40B4-BE49-F238E27FC236}">
              <a16:creationId xmlns:a16="http://schemas.microsoft.com/office/drawing/2014/main" id="{A33283A2-3285-46F7-84EB-4AA89F75F0AF}"/>
            </a:ext>
          </a:extLst>
        </xdr:cNvPr>
        <xdr:cNvSpPr txBox="1"/>
      </xdr:nvSpPr>
      <xdr:spPr>
        <a:xfrm>
          <a:off x="8099066" y="3879449"/>
          <a:ext cx="1076344" cy="397151"/>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1</a:t>
          </a:r>
        </a:p>
        <a:p>
          <a:r>
            <a:rPr lang="en-GB" sz="1100" b="0">
              <a:latin typeface="Arial" panose="020B0604020202020204" pitchFamily="34" charset="0"/>
              <a:cs typeface="Arial" panose="020B0604020202020204" pitchFamily="34" charset="0"/>
            </a:rPr>
            <a:t>Value:</a:t>
          </a:r>
        </a:p>
      </xdr:txBody>
    </xdr:sp>
    <xdr:clientData/>
  </xdr:twoCellAnchor>
  <xdr:twoCellAnchor>
    <xdr:from>
      <xdr:col>10</xdr:col>
      <xdr:colOff>283470</xdr:colOff>
      <xdr:row>18</xdr:row>
      <xdr:rowOff>78974</xdr:rowOff>
    </xdr:from>
    <xdr:to>
      <xdr:col>12</xdr:col>
      <xdr:colOff>142080</xdr:colOff>
      <xdr:row>21</xdr:row>
      <xdr:rowOff>158095</xdr:rowOff>
    </xdr:to>
    <xdr:sp macro="" textlink="">
      <xdr:nvSpPr>
        <xdr:cNvPr id="7" name="TextBox 14">
          <a:extLst>
            <a:ext uri="{FF2B5EF4-FFF2-40B4-BE49-F238E27FC236}">
              <a16:creationId xmlns:a16="http://schemas.microsoft.com/office/drawing/2014/main" id="{568BEE80-E58D-4EA6-8C38-17AB8BAA4BAA}"/>
            </a:ext>
          </a:extLst>
        </xdr:cNvPr>
        <xdr:cNvSpPr txBox="1"/>
      </xdr:nvSpPr>
      <xdr:spPr>
        <a:xfrm>
          <a:off x="9294120" y="3888974"/>
          <a:ext cx="1077810"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2</a:t>
          </a:r>
        </a:p>
        <a:p>
          <a:r>
            <a:rPr lang="en-GB" sz="1100">
              <a:latin typeface="Arial" panose="020B0604020202020204" pitchFamily="34" charset="0"/>
              <a:cs typeface="Arial" panose="020B0604020202020204" pitchFamily="34" charset="0"/>
            </a:rPr>
            <a:t>Nutrient loading from current land use</a:t>
          </a:r>
        </a:p>
      </xdr:txBody>
    </xdr:sp>
    <xdr:clientData/>
  </xdr:twoCellAnchor>
  <xdr:twoCellAnchor>
    <xdr:from>
      <xdr:col>12</xdr:col>
      <xdr:colOff>272513</xdr:colOff>
      <xdr:row>18</xdr:row>
      <xdr:rowOff>78974</xdr:rowOff>
    </xdr:from>
    <xdr:to>
      <xdr:col>14</xdr:col>
      <xdr:colOff>129658</xdr:colOff>
      <xdr:row>21</xdr:row>
      <xdr:rowOff>158095</xdr:rowOff>
    </xdr:to>
    <xdr:sp macro="" textlink="">
      <xdr:nvSpPr>
        <xdr:cNvPr id="8" name="TextBox 15">
          <a:extLst>
            <a:ext uri="{FF2B5EF4-FFF2-40B4-BE49-F238E27FC236}">
              <a16:creationId xmlns:a16="http://schemas.microsoft.com/office/drawing/2014/main" id="{16337382-E2DF-4335-9BD5-709929421A4C}"/>
            </a:ext>
          </a:extLst>
        </xdr:cNvPr>
        <xdr:cNvSpPr txBox="1"/>
      </xdr:nvSpPr>
      <xdr:spPr>
        <a:xfrm>
          <a:off x="10502363" y="3888974"/>
          <a:ext cx="1076345"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3</a:t>
          </a:r>
        </a:p>
        <a:p>
          <a:r>
            <a:rPr lang="en-GB" sz="1100">
              <a:latin typeface="Arial" panose="020B0604020202020204" pitchFamily="34" charset="0"/>
              <a:cs typeface="Arial" panose="020B0604020202020204" pitchFamily="34" charset="0"/>
            </a:rPr>
            <a:t>Nutrient loading from future land use</a:t>
          </a:r>
        </a:p>
      </xdr:txBody>
    </xdr:sp>
    <xdr:clientData/>
  </xdr:twoCellAnchor>
  <xdr:twoCellAnchor>
    <xdr:from>
      <xdr:col>14</xdr:col>
      <xdr:colOff>257888</xdr:colOff>
      <xdr:row>18</xdr:row>
      <xdr:rowOff>98024</xdr:rowOff>
    </xdr:from>
    <xdr:to>
      <xdr:col>16</xdr:col>
      <xdr:colOff>115033</xdr:colOff>
      <xdr:row>21</xdr:row>
      <xdr:rowOff>13575</xdr:rowOff>
    </xdr:to>
    <xdr:sp macro="" textlink="">
      <xdr:nvSpPr>
        <xdr:cNvPr id="9" name="TextBox 16">
          <a:extLst>
            <a:ext uri="{FF2B5EF4-FFF2-40B4-BE49-F238E27FC236}">
              <a16:creationId xmlns:a16="http://schemas.microsoft.com/office/drawing/2014/main" id="{FB53914C-1439-4AB8-92D7-6CA707289620}"/>
            </a:ext>
          </a:extLst>
        </xdr:cNvPr>
        <xdr:cNvSpPr txBox="1"/>
      </xdr:nvSpPr>
      <xdr:spPr>
        <a:xfrm>
          <a:off x="11706938" y="3908024"/>
          <a:ext cx="1076345" cy="57277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4</a:t>
          </a:r>
        </a:p>
        <a:p>
          <a:r>
            <a:rPr lang="en-GB" sz="1100">
              <a:latin typeface="Arial" panose="020B0604020202020204" pitchFamily="34" charset="0"/>
              <a:cs typeface="Arial" panose="020B0604020202020204" pitchFamily="34" charset="0"/>
            </a:rPr>
            <a:t>Nutrient budget calculation</a:t>
          </a:r>
        </a:p>
      </xdr:txBody>
    </xdr:sp>
    <xdr:clientData/>
  </xdr:twoCellAnchor>
  <xdr:twoCellAnchor editAs="oneCell">
    <xdr:from>
      <xdr:col>8</xdr:col>
      <xdr:colOff>76200</xdr:colOff>
      <xdr:row>13</xdr:row>
      <xdr:rowOff>76201</xdr:rowOff>
    </xdr:from>
    <xdr:to>
      <xdr:col>10</xdr:col>
      <xdr:colOff>276226</xdr:colOff>
      <xdr:row>18</xdr:row>
      <xdr:rowOff>84282</xdr:rowOff>
    </xdr:to>
    <xdr:pic>
      <xdr:nvPicPr>
        <xdr:cNvPr id="10" name="Picture 9">
          <a:hlinkClick xmlns:r="http://schemas.openxmlformats.org/officeDocument/2006/relationships" r:id="rId1"/>
          <a:extLst>
            <a:ext uri="{FF2B5EF4-FFF2-40B4-BE49-F238E27FC236}">
              <a16:creationId xmlns:a16="http://schemas.microsoft.com/office/drawing/2014/main" id="{CF9F181F-F076-4A15-9A81-9FFA380081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1000" y="2876551"/>
          <a:ext cx="1285876" cy="1017731"/>
        </a:xfrm>
        <a:prstGeom prst="rect">
          <a:avLst/>
        </a:prstGeom>
      </xdr:spPr>
    </xdr:pic>
    <xdr:clientData/>
  </xdr:twoCellAnchor>
  <xdr:twoCellAnchor editAs="oneCell">
    <xdr:from>
      <xdr:col>12</xdr:col>
      <xdr:colOff>169343</xdr:colOff>
      <xdr:row>13</xdr:row>
      <xdr:rowOff>73801</xdr:rowOff>
    </xdr:from>
    <xdr:to>
      <xdr:col>14</xdr:col>
      <xdr:colOff>242663</xdr:colOff>
      <xdr:row>18</xdr:row>
      <xdr:rowOff>88300</xdr:rowOff>
    </xdr:to>
    <xdr:pic>
      <xdr:nvPicPr>
        <xdr:cNvPr id="11" name="Picture 10">
          <a:hlinkClick xmlns:r="http://schemas.openxmlformats.org/officeDocument/2006/relationships" r:id="rId3"/>
          <a:extLst>
            <a:ext uri="{FF2B5EF4-FFF2-40B4-BE49-F238E27FC236}">
              <a16:creationId xmlns:a16="http://schemas.microsoft.com/office/drawing/2014/main" id="{E398EA38-93DD-45FF-9C31-D9A63D84641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99193" y="2874151"/>
          <a:ext cx="1292520" cy="1024149"/>
        </a:xfrm>
        <a:prstGeom prst="rect">
          <a:avLst/>
        </a:prstGeom>
      </xdr:spPr>
    </xdr:pic>
    <xdr:clientData/>
  </xdr:twoCellAnchor>
  <xdr:twoCellAnchor editAs="oneCell">
    <xdr:from>
      <xdr:col>10</xdr:col>
      <xdr:colOff>186928</xdr:colOff>
      <xdr:row>12</xdr:row>
      <xdr:rowOff>95250</xdr:rowOff>
    </xdr:from>
    <xdr:to>
      <xdr:col>12</xdr:col>
      <xdr:colOff>259313</xdr:colOff>
      <xdr:row>17</xdr:row>
      <xdr:rowOff>161939</xdr:rowOff>
    </xdr:to>
    <xdr:pic>
      <xdr:nvPicPr>
        <xdr:cNvPr id="12" name="Picture 11">
          <a:hlinkClick xmlns:r="http://schemas.openxmlformats.org/officeDocument/2006/relationships" r:id="rId5"/>
          <a:extLst>
            <a:ext uri="{FF2B5EF4-FFF2-40B4-BE49-F238E27FC236}">
              <a16:creationId xmlns:a16="http://schemas.microsoft.com/office/drawing/2014/main" id="{4A9C62A6-3D7B-4731-AAFB-011BA62AB70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197578" y="2752725"/>
          <a:ext cx="1291585" cy="1019189"/>
        </a:xfrm>
        <a:prstGeom prst="rect">
          <a:avLst/>
        </a:prstGeom>
      </xdr:spPr>
    </xdr:pic>
    <xdr:clientData/>
  </xdr:twoCellAnchor>
  <xdr:twoCellAnchor editAs="oneCell">
    <xdr:from>
      <xdr:col>14</xdr:col>
      <xdr:colOff>152818</xdr:colOff>
      <xdr:row>12</xdr:row>
      <xdr:rowOff>95250</xdr:rowOff>
    </xdr:from>
    <xdr:to>
      <xdr:col>16</xdr:col>
      <xdr:colOff>228338</xdr:colOff>
      <xdr:row>17</xdr:row>
      <xdr:rowOff>165569</xdr:rowOff>
    </xdr:to>
    <xdr:pic>
      <xdr:nvPicPr>
        <xdr:cNvPr id="13" name="Picture 12">
          <a:hlinkClick xmlns:r="http://schemas.openxmlformats.org/officeDocument/2006/relationships" r:id="rId7"/>
          <a:extLst>
            <a:ext uri="{FF2B5EF4-FFF2-40B4-BE49-F238E27FC236}">
              <a16:creationId xmlns:a16="http://schemas.microsoft.com/office/drawing/2014/main" id="{4D499E9D-14E9-4A44-9642-E04BC704D61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601868" y="2752725"/>
          <a:ext cx="1294720" cy="1022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56\OneDrive%20-%20Ricardo%20Plc\NE%20NN\Copy%20of%20Herefordshire%20Council%20Phosphate%20Budget%20Calculator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Stage 1"/>
      <sheetName val="Stage 2"/>
      <sheetName val="Stage 3"/>
      <sheetName val="Stage 4"/>
      <sheetName val="WwTW look up"/>
      <sheetName val="Stage 2 and 3 lookups"/>
      <sheetName val="WwTW Catchment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mapapps2.bgs.ac.uk/ukso/home.html?layers=NVZEng" TargetMode="External"/><Relationship Id="rId2" Type="http://schemas.openxmlformats.org/officeDocument/2006/relationships/hyperlink" Target="http://www.landis.org.uk/soilscapes/" TargetMode="External"/><Relationship Id="rId1" Type="http://schemas.openxmlformats.org/officeDocument/2006/relationships/hyperlink" Target="http://environment.data.gov.uk/catchment-planning/" TargetMode="External"/><Relationship Id="rId6" Type="http://schemas.openxmlformats.org/officeDocument/2006/relationships/drawing" Target="../drawings/drawing4.xml"/><Relationship Id="rId5" Type="http://schemas.openxmlformats.org/officeDocument/2006/relationships/printerSettings" Target="../printerSettings/printerSettings3.bin"/><Relationship Id="rId4" Type="http://schemas.openxmlformats.org/officeDocument/2006/relationships/hyperlink" Target="https://nrfa.ceh.ac.uk/data/station/spatial/34004"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288EF-98C6-448F-AC74-23005D297FD1}">
  <dimension ref="M5:Y12"/>
  <sheetViews>
    <sheetView showGridLines="0" showRowColHeaders="0" tabSelected="1" zoomScaleNormal="100" workbookViewId="0"/>
  </sheetViews>
  <sheetFormatPr defaultColWidth="5.6640625" defaultRowHeight="28.5" customHeight="1" x14ac:dyDescent="0.3"/>
  <cols>
    <col min="1" max="12" width="5.6640625" style="2"/>
    <col min="13" max="13" width="58.44140625" style="2" customWidth="1"/>
    <col min="14" max="14" width="5.6640625" style="2"/>
    <col min="15" max="15" width="4.5546875" style="2" customWidth="1"/>
    <col min="16" max="20" width="5.6640625" style="2"/>
    <col min="21" max="21" width="5.6640625" style="2" customWidth="1"/>
    <col min="22" max="16384" width="5.6640625" style="2"/>
  </cols>
  <sheetData>
    <row r="5" spans="13:25" ht="28.5" customHeight="1" x14ac:dyDescent="0.3">
      <c r="Y5"/>
    </row>
    <row r="11" spans="13:25" ht="18" customHeight="1" x14ac:dyDescent="0.3"/>
    <row r="12" spans="13:25" ht="42" x14ac:dyDescent="0.3">
      <c r="M12" s="104" t="s">
        <v>255</v>
      </c>
    </row>
  </sheetData>
  <sheetProtection algorithmName="SHA-512" hashValue="C3IzrG2dyZcIo67D3IKSc/kplip+bFKJrgXIRYGVXI0CvDJ5QpoVhBuVZpcHTfAVyrae6yrTZm7M99HPu9Hnvw==" saltValue="6vksG7pE+SmhEPWMElXe3w==" spinCount="100000" sheet="1" objects="1" scenarios="1" selectLockedCells="1" selectUn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546A1-C6EE-4AA8-8A3A-C1EBF31A9FD9}">
  <dimension ref="A5:K33"/>
  <sheetViews>
    <sheetView topLeftCell="A10" workbookViewId="0">
      <selection activeCell="C16" sqref="C16"/>
    </sheetView>
  </sheetViews>
  <sheetFormatPr defaultColWidth="9.109375" defaultRowHeight="14.4" x14ac:dyDescent="0.3"/>
  <cols>
    <col min="1" max="1" width="9.109375" style="1"/>
    <col min="2" max="2" width="27.88671875" style="1" customWidth="1"/>
    <col min="3" max="3" width="26.88671875" style="1" customWidth="1"/>
    <col min="4" max="4" width="9.109375" style="1"/>
    <col min="5" max="5" width="15" style="1" customWidth="1"/>
    <col min="6" max="6" width="12.5546875" style="1" customWidth="1"/>
    <col min="7" max="9" width="9.109375" style="1"/>
    <col min="10" max="10" width="7.109375" style="1" customWidth="1"/>
    <col min="11" max="16384" width="9.109375" style="1"/>
  </cols>
  <sheetData>
    <row r="5" spans="1:11" x14ac:dyDescent="0.3">
      <c r="B5" s="4"/>
      <c r="C5" s="4"/>
      <c r="D5" s="4"/>
      <c r="E5" s="4"/>
      <c r="F5" s="4"/>
      <c r="G5" s="4"/>
      <c r="H5" s="4"/>
      <c r="I5" s="4"/>
      <c r="J5" s="4"/>
      <c r="K5" s="4"/>
    </row>
    <row r="6" spans="1:11" ht="18" x14ac:dyDescent="0.3">
      <c r="A6" s="4"/>
      <c r="K6" s="7"/>
    </row>
    <row r="7" spans="1:11" ht="18" customHeight="1" x14ac:dyDescent="0.5">
      <c r="A7" s="4"/>
      <c r="F7" s="5"/>
      <c r="G7" s="6"/>
      <c r="H7" s="6"/>
      <c r="I7" s="5"/>
      <c r="K7" s="8"/>
    </row>
    <row r="8" spans="1:11" ht="12" customHeight="1" x14ac:dyDescent="0.5">
      <c r="A8" s="4"/>
      <c r="F8" s="3"/>
      <c r="G8" s="3"/>
      <c r="H8" s="3"/>
      <c r="I8" s="10"/>
      <c r="K8" s="8"/>
    </row>
    <row r="9" spans="1:11" ht="18.600000000000001" thickBot="1" x14ac:dyDescent="0.55000000000000004">
      <c r="A9" s="4"/>
      <c r="B9" s="15" t="s">
        <v>91</v>
      </c>
      <c r="D9" s="22"/>
      <c r="E9" s="294" t="s">
        <v>130</v>
      </c>
      <c r="G9" s="3"/>
      <c r="H9" s="3"/>
      <c r="I9" s="10"/>
      <c r="K9" s="8"/>
    </row>
    <row r="10" spans="1:11" ht="21" customHeight="1" thickTop="1" thickBot="1" x14ac:dyDescent="0.55000000000000004">
      <c r="A10" s="4"/>
      <c r="B10" s="16" t="s">
        <v>90</v>
      </c>
      <c r="D10" s="24"/>
      <c r="E10" s="294"/>
      <c r="G10" s="3"/>
      <c r="H10" s="3" t="s">
        <v>131</v>
      </c>
      <c r="I10" s="10"/>
      <c r="J10" s="7"/>
      <c r="K10" s="9"/>
    </row>
    <row r="11" spans="1:11" ht="19.2" thickTop="1" thickBot="1" x14ac:dyDescent="0.35">
      <c r="A11" s="4"/>
      <c r="B11" s="17" t="s">
        <v>89</v>
      </c>
      <c r="D11" s="25"/>
      <c r="E11" s="294"/>
      <c r="G11" s="8"/>
      <c r="H11" s="8" t="e">
        <f>IF(C33&lt;0,"Well done, you're in the clear…,""")</f>
        <v>#VALUE!</v>
      </c>
      <c r="I11" s="8"/>
      <c r="J11" s="8"/>
      <c r="K11" s="9"/>
    </row>
    <row r="12" spans="1:11" ht="29.25" customHeight="1" thickTop="1" x14ac:dyDescent="0.3">
      <c r="B12" s="18" t="s">
        <v>88</v>
      </c>
      <c r="D12" s="26"/>
      <c r="E12" s="294"/>
      <c r="G12" s="9"/>
      <c r="H12" s="9" t="s">
        <v>132</v>
      </c>
      <c r="I12" s="9"/>
      <c r="J12" s="9"/>
    </row>
    <row r="13" spans="1:11" ht="11.25" customHeight="1" x14ac:dyDescent="0.3">
      <c r="B13" s="22"/>
      <c r="C13" s="22"/>
      <c r="D13" s="22"/>
      <c r="E13" s="22"/>
      <c r="F13" s="55"/>
    </row>
    <row r="14" spans="1:11" x14ac:dyDescent="0.3">
      <c r="B14" s="22"/>
      <c r="C14" s="22"/>
      <c r="D14" s="22"/>
      <c r="E14" s="22"/>
      <c r="F14" s="55"/>
    </row>
    <row r="15" spans="1:11" ht="15" thickBot="1" x14ac:dyDescent="0.35">
      <c r="B15" s="15" t="s">
        <v>84</v>
      </c>
      <c r="C15" s="52" t="str">
        <f>'Stage 1'!D34</f>
        <v/>
      </c>
      <c r="D15" s="22"/>
      <c r="E15" s="294" t="s">
        <v>129</v>
      </c>
    </row>
    <row r="16" spans="1:11" ht="15.6" thickTop="1" thickBot="1" x14ac:dyDescent="0.35">
      <c r="B16" s="16" t="s">
        <v>85</v>
      </c>
      <c r="C16" s="23">
        <f>'Stage 3'!F27-'Stage 2'!F32</f>
        <v>0</v>
      </c>
      <c r="D16" s="22"/>
      <c r="E16" s="294"/>
    </row>
    <row r="17" spans="2:7" ht="15.6" thickTop="1" thickBot="1" x14ac:dyDescent="0.35">
      <c r="B17" s="17" t="s">
        <v>86</v>
      </c>
      <c r="C17" s="53" t="e">
        <f>C15+C16</f>
        <v>#VALUE!</v>
      </c>
      <c r="D17" s="19"/>
      <c r="E17" s="294"/>
      <c r="G17" s="4"/>
    </row>
    <row r="18" spans="2:7" ht="15" thickTop="1" x14ac:dyDescent="0.3">
      <c r="B18" s="18" t="s">
        <v>87</v>
      </c>
      <c r="C18" s="54" t="e">
        <f>C17*1.2</f>
        <v>#VALUE!</v>
      </c>
      <c r="D18" s="19"/>
      <c r="E18" s="294"/>
      <c r="G18" s="4"/>
    </row>
    <row r="19" spans="2:7" ht="18" x14ac:dyDescent="0.3">
      <c r="B19" s="10"/>
      <c r="C19" s="12"/>
      <c r="D19" s="13"/>
      <c r="G19" s="4"/>
    </row>
    <row r="20" spans="2:7" ht="18" x14ac:dyDescent="0.3">
      <c r="B20" s="10"/>
      <c r="C20" s="12"/>
      <c r="D20" s="13"/>
      <c r="G20" s="4"/>
    </row>
    <row r="21" spans="2:7" ht="18" x14ac:dyDescent="0.3">
      <c r="B21" s="10"/>
      <c r="C21" s="13"/>
      <c r="D21" s="13"/>
      <c r="G21" s="4"/>
    </row>
    <row r="22" spans="2:7" ht="18" x14ac:dyDescent="0.3">
      <c r="B22" s="11"/>
      <c r="C22" s="14"/>
      <c r="D22" s="14"/>
      <c r="G22" s="4"/>
    </row>
    <row r="23" spans="2:7" x14ac:dyDescent="0.3">
      <c r="G23" s="4"/>
    </row>
    <row r="24" spans="2:7" ht="15" thickBot="1" x14ac:dyDescent="0.35">
      <c r="C24" s="52" t="str">
        <f>'Stage 1'!D29</f>
        <v/>
      </c>
      <c r="F24" s="293" t="e">
        <f>C33</f>
        <v>#VALUE!</v>
      </c>
    </row>
    <row r="25" spans="2:7" ht="15" thickTop="1" x14ac:dyDescent="0.3">
      <c r="F25" s="293"/>
    </row>
    <row r="26" spans="2:7" x14ac:dyDescent="0.3">
      <c r="F26" s="293"/>
    </row>
    <row r="27" spans="2:7" ht="15" thickBot="1" x14ac:dyDescent="0.35">
      <c r="C27" s="23">
        <f>'Stage 3'!E27-'Stage 2'!E32</f>
        <v>0</v>
      </c>
      <c r="F27" s="293"/>
    </row>
    <row r="28" spans="2:7" ht="15" thickTop="1" x14ac:dyDescent="0.3"/>
    <row r="29" spans="2:7" ht="15" thickBot="1" x14ac:dyDescent="0.35">
      <c r="F29" s="295" t="e">
        <f>C18</f>
        <v>#VALUE!</v>
      </c>
    </row>
    <row r="30" spans="2:7" ht="15.6" thickTop="1" thickBot="1" x14ac:dyDescent="0.35">
      <c r="C30" s="53" t="e">
        <f>C24+C27</f>
        <v>#VALUE!</v>
      </c>
      <c r="F30" s="295"/>
    </row>
    <row r="31" spans="2:7" ht="15" thickTop="1" x14ac:dyDescent="0.3">
      <c r="F31" s="295"/>
    </row>
    <row r="32" spans="2:7" ht="15" thickBot="1" x14ac:dyDescent="0.35">
      <c r="F32" s="295"/>
    </row>
    <row r="33" spans="3:3" ht="15" thickTop="1" x14ac:dyDescent="0.3">
      <c r="C33" s="54" t="e">
        <f>C30*1.2</f>
        <v>#VALUE!</v>
      </c>
    </row>
  </sheetData>
  <mergeCells count="4">
    <mergeCell ref="E9:E12"/>
    <mergeCell ref="F24:F27"/>
    <mergeCell ref="E15:E18"/>
    <mergeCell ref="F29:F3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07F3CA5-F800-43D1-83B8-FCADDD9BAC80}">
          <x14:formula1>
            <xm:f>'C:\Users\DS56\OneDrive - Ricardo Plc\NE NN\[Copy of Herefordshire Council Phosphate Budget Calculator_Final.xlsx]Stage 2 and 3 lookups'!#REF!</xm:f>
          </x14:formula1>
          <xm:sqref>I8:I10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A7AF-3E94-4ACD-8BCA-F732777F79B7}">
  <dimension ref="B1:P394"/>
  <sheetViews>
    <sheetView showRowColHeaders="0" zoomScale="80" zoomScaleNormal="80" workbookViewId="0"/>
  </sheetViews>
  <sheetFormatPr defaultColWidth="9.109375" defaultRowHeight="13.8" x14ac:dyDescent="0.25"/>
  <cols>
    <col min="1" max="1" width="9.109375" style="32"/>
    <col min="2" max="2" width="4.88671875" style="32" customWidth="1"/>
    <col min="3" max="3" width="44.44140625" style="32" bestFit="1" customWidth="1"/>
    <col min="4" max="4" width="31.33203125" style="32" bestFit="1" customWidth="1"/>
    <col min="5" max="5" width="34" style="32" customWidth="1"/>
    <col min="6" max="6" width="31.5546875" style="32" customWidth="1"/>
    <col min="7" max="7" width="41.88671875" style="32" customWidth="1"/>
    <col min="8" max="8" width="51.33203125" style="32" customWidth="1"/>
    <col min="9" max="9" width="46.5546875" style="32" customWidth="1"/>
    <col min="10" max="10" width="39.88671875" style="32" bestFit="1" customWidth="1"/>
    <col min="11" max="11" width="36.88671875" style="32" customWidth="1"/>
    <col min="12" max="12" width="38.109375" style="32" bestFit="1" customWidth="1"/>
    <col min="13" max="15" width="28" style="32" customWidth="1"/>
    <col min="16" max="16" width="9" style="32" customWidth="1"/>
    <col min="17" max="16384" width="9.109375" style="32"/>
  </cols>
  <sheetData>
    <row r="1" spans="2:16" ht="35.25" customHeight="1" thickBot="1" x14ac:dyDescent="0.3"/>
    <row r="2" spans="2:16" ht="14.4" thickTop="1" x14ac:dyDescent="0.25">
      <c r="B2" s="296" t="s">
        <v>202</v>
      </c>
      <c r="C2" s="297"/>
      <c r="D2" s="297"/>
      <c r="E2" s="297"/>
      <c r="F2" s="297"/>
      <c r="G2" s="297"/>
      <c r="H2" s="297"/>
      <c r="I2" s="297"/>
      <c r="J2" s="297"/>
      <c r="K2" s="297"/>
      <c r="L2" s="297"/>
      <c r="M2" s="297"/>
      <c r="N2" s="297"/>
      <c r="O2" s="297"/>
      <c r="P2" s="298"/>
    </row>
    <row r="3" spans="2:16" x14ac:dyDescent="0.25">
      <c r="B3" s="299"/>
      <c r="C3" s="300"/>
      <c r="D3" s="300"/>
      <c r="E3" s="300"/>
      <c r="F3" s="300"/>
      <c r="G3" s="300"/>
      <c r="H3" s="300"/>
      <c r="I3" s="300"/>
      <c r="J3" s="300"/>
      <c r="K3" s="300"/>
      <c r="L3" s="300"/>
      <c r="M3" s="300"/>
      <c r="N3" s="300"/>
      <c r="O3" s="300"/>
      <c r="P3" s="301"/>
    </row>
    <row r="4" spans="2:16" x14ac:dyDescent="0.25">
      <c r="B4" s="299"/>
      <c r="C4" s="300"/>
      <c r="D4" s="300"/>
      <c r="E4" s="300"/>
      <c r="F4" s="300"/>
      <c r="G4" s="300"/>
      <c r="H4" s="300"/>
      <c r="I4" s="300"/>
      <c r="J4" s="300"/>
      <c r="K4" s="300"/>
      <c r="L4" s="300"/>
      <c r="M4" s="300"/>
      <c r="N4" s="300"/>
      <c r="O4" s="300"/>
      <c r="P4" s="301"/>
    </row>
    <row r="5" spans="2:16" x14ac:dyDescent="0.25">
      <c r="B5" s="137"/>
      <c r="C5" s="29"/>
      <c r="D5" s="29"/>
      <c r="E5" s="29"/>
      <c r="F5" s="29"/>
      <c r="G5" s="29"/>
      <c r="H5" s="29"/>
      <c r="I5" s="29"/>
      <c r="J5" s="29"/>
      <c r="K5" s="29"/>
      <c r="L5" s="29"/>
      <c r="M5" s="29"/>
      <c r="N5" s="29"/>
      <c r="O5" s="29"/>
      <c r="P5" s="138"/>
    </row>
    <row r="6" spans="2:16" x14ac:dyDescent="0.25">
      <c r="B6" s="137"/>
      <c r="C6" s="29" t="s">
        <v>110</v>
      </c>
      <c r="D6" s="29"/>
      <c r="E6" s="29"/>
      <c r="F6" s="29"/>
      <c r="G6" s="29"/>
      <c r="H6" s="29"/>
      <c r="I6" s="29"/>
      <c r="J6" s="29"/>
      <c r="K6" s="29"/>
      <c r="L6" s="29"/>
      <c r="M6" s="29"/>
      <c r="N6" s="29"/>
      <c r="O6" s="29"/>
      <c r="P6" s="138"/>
    </row>
    <row r="7" spans="2:16" ht="33.75" customHeight="1" thickBot="1" x14ac:dyDescent="0.3">
      <c r="B7" s="137"/>
      <c r="C7" s="35" t="s">
        <v>99</v>
      </c>
      <c r="D7" s="48" t="s">
        <v>190</v>
      </c>
      <c r="E7" s="48" t="s">
        <v>224</v>
      </c>
      <c r="F7" s="48" t="s">
        <v>189</v>
      </c>
      <c r="G7" s="135" t="s">
        <v>225</v>
      </c>
      <c r="H7" s="27"/>
      <c r="I7" s="27"/>
      <c r="J7" s="27"/>
      <c r="K7" s="27"/>
      <c r="L7" s="27"/>
      <c r="M7" s="27"/>
      <c r="N7" s="27"/>
      <c r="O7" s="27"/>
      <c r="P7" s="138"/>
    </row>
    <row r="8" spans="2:16" ht="14.4" thickTop="1" x14ac:dyDescent="0.25">
      <c r="B8" s="137"/>
      <c r="C8" s="188" t="s">
        <v>227</v>
      </c>
      <c r="D8" s="47">
        <v>8</v>
      </c>
      <c r="E8" s="47">
        <v>27</v>
      </c>
      <c r="F8" s="47">
        <v>8</v>
      </c>
      <c r="G8" s="40">
        <v>27</v>
      </c>
      <c r="H8" s="27"/>
      <c r="I8" s="27"/>
      <c r="J8" s="27"/>
      <c r="K8" s="27"/>
      <c r="L8" s="27"/>
      <c r="M8" s="27"/>
      <c r="N8" s="27"/>
      <c r="O8" s="27"/>
      <c r="P8" s="138"/>
    </row>
    <row r="9" spans="2:16" x14ac:dyDescent="0.25">
      <c r="B9" s="137"/>
      <c r="C9" s="188" t="s">
        <v>228</v>
      </c>
      <c r="D9" s="47">
        <v>8</v>
      </c>
      <c r="E9" s="47">
        <v>27</v>
      </c>
      <c r="F9" s="47">
        <v>8</v>
      </c>
      <c r="G9" s="40">
        <v>27</v>
      </c>
      <c r="H9" s="27"/>
      <c r="I9" s="27"/>
      <c r="J9" s="27"/>
      <c r="K9" s="27"/>
      <c r="L9" s="27"/>
      <c r="M9" s="27"/>
      <c r="N9" s="27"/>
      <c r="O9" s="27"/>
      <c r="P9" s="138"/>
    </row>
    <row r="10" spans="2:16" x14ac:dyDescent="0.25">
      <c r="B10" s="137"/>
      <c r="C10" s="188" t="s">
        <v>212</v>
      </c>
      <c r="D10" s="47">
        <v>8</v>
      </c>
      <c r="E10" s="47">
        <v>27</v>
      </c>
      <c r="F10" s="47">
        <v>8</v>
      </c>
      <c r="G10" s="40">
        <v>27</v>
      </c>
      <c r="H10" s="27"/>
      <c r="I10" s="27"/>
      <c r="J10" s="27"/>
      <c r="K10" s="27"/>
      <c r="L10" s="27"/>
      <c r="M10" s="27"/>
      <c r="N10" s="27"/>
      <c r="O10" s="27"/>
      <c r="P10" s="138"/>
    </row>
    <row r="11" spans="2:16" x14ac:dyDescent="0.25">
      <c r="B11" s="137"/>
      <c r="C11" s="188" t="s">
        <v>213</v>
      </c>
      <c r="D11" s="47">
        <v>2.5</v>
      </c>
      <c r="E11" s="47">
        <v>27</v>
      </c>
      <c r="F11" s="47">
        <v>2.5</v>
      </c>
      <c r="G11" s="40">
        <v>27</v>
      </c>
      <c r="H11" s="27"/>
      <c r="I11" s="27"/>
      <c r="J11" s="27"/>
      <c r="K11" s="27"/>
      <c r="L11" s="27"/>
      <c r="M11" s="27"/>
      <c r="N11" s="27"/>
      <c r="O11" s="27"/>
      <c r="P11" s="138"/>
    </row>
    <row r="12" spans="2:16" x14ac:dyDescent="0.25">
      <c r="B12" s="137"/>
      <c r="C12" s="188" t="s">
        <v>229</v>
      </c>
      <c r="D12" s="47">
        <v>1</v>
      </c>
      <c r="E12" s="47">
        <v>27</v>
      </c>
      <c r="F12" s="47">
        <v>1</v>
      </c>
      <c r="G12" s="40">
        <v>27</v>
      </c>
      <c r="H12" s="27"/>
      <c r="I12" s="27"/>
      <c r="J12" s="27"/>
      <c r="K12" s="27"/>
      <c r="L12" s="27"/>
      <c r="M12" s="27"/>
      <c r="N12" s="27"/>
      <c r="O12" s="27"/>
      <c r="P12" s="138"/>
    </row>
    <row r="13" spans="2:16" x14ac:dyDescent="0.25">
      <c r="B13" s="137"/>
      <c r="C13" s="188" t="s">
        <v>230</v>
      </c>
      <c r="D13" s="47">
        <v>8</v>
      </c>
      <c r="E13" s="47">
        <v>27</v>
      </c>
      <c r="F13" s="47">
        <v>8</v>
      </c>
      <c r="G13" s="40">
        <v>27</v>
      </c>
      <c r="H13" s="27"/>
      <c r="I13" s="27"/>
      <c r="J13" s="27"/>
      <c r="K13" s="27"/>
      <c r="L13" s="27"/>
      <c r="M13" s="27"/>
      <c r="N13" s="27"/>
      <c r="O13" s="27"/>
      <c r="P13" s="138"/>
    </row>
    <row r="14" spans="2:16" x14ac:dyDescent="0.25">
      <c r="B14" s="137"/>
      <c r="C14" s="188" t="s">
        <v>231</v>
      </c>
      <c r="D14" s="47">
        <v>1</v>
      </c>
      <c r="E14" s="47">
        <v>27</v>
      </c>
      <c r="F14" s="47">
        <v>1</v>
      </c>
      <c r="G14" s="40">
        <v>27</v>
      </c>
      <c r="H14" s="27"/>
      <c r="I14" s="27"/>
      <c r="J14" s="27"/>
      <c r="K14" s="27"/>
      <c r="L14" s="27"/>
      <c r="M14" s="27"/>
      <c r="N14" s="27"/>
      <c r="O14" s="27"/>
      <c r="P14" s="138"/>
    </row>
    <row r="15" spans="2:16" x14ac:dyDescent="0.25">
      <c r="B15" s="137"/>
      <c r="C15" s="188" t="s">
        <v>214</v>
      </c>
      <c r="D15" s="47">
        <v>1</v>
      </c>
      <c r="E15" s="47">
        <v>27</v>
      </c>
      <c r="F15" s="47">
        <v>1</v>
      </c>
      <c r="G15" s="40">
        <v>27</v>
      </c>
      <c r="H15" s="27"/>
      <c r="I15" s="27"/>
      <c r="J15" s="27"/>
      <c r="K15" s="27"/>
      <c r="L15" s="27"/>
      <c r="M15" s="27"/>
      <c r="N15" s="27"/>
      <c r="O15" s="27"/>
      <c r="P15" s="138"/>
    </row>
    <row r="16" spans="2:16" x14ac:dyDescent="0.25">
      <c r="B16" s="137"/>
      <c r="C16" s="188" t="s">
        <v>232</v>
      </c>
      <c r="D16" s="47">
        <v>8</v>
      </c>
      <c r="E16" s="47">
        <v>27</v>
      </c>
      <c r="F16" s="47">
        <v>8</v>
      </c>
      <c r="G16" s="40">
        <v>27</v>
      </c>
      <c r="H16" s="27"/>
      <c r="I16" s="27"/>
      <c r="J16" s="27"/>
      <c r="K16" s="27"/>
      <c r="L16" s="27"/>
      <c r="M16" s="27"/>
      <c r="N16" s="27"/>
      <c r="O16" s="27"/>
      <c r="P16" s="138"/>
    </row>
    <row r="17" spans="2:16" x14ac:dyDescent="0.25">
      <c r="B17" s="137"/>
      <c r="C17" s="188" t="s">
        <v>233</v>
      </c>
      <c r="D17" s="47">
        <v>8</v>
      </c>
      <c r="E17" s="47">
        <v>27</v>
      </c>
      <c r="F17" s="47">
        <v>8</v>
      </c>
      <c r="G17" s="40">
        <v>27</v>
      </c>
      <c r="H17" s="27"/>
      <c r="I17" s="27"/>
      <c r="J17" s="27"/>
      <c r="K17" s="27"/>
      <c r="L17" s="27"/>
      <c r="M17" s="27"/>
      <c r="N17" s="27"/>
      <c r="O17" s="27"/>
      <c r="P17" s="138"/>
    </row>
    <row r="18" spans="2:16" x14ac:dyDescent="0.25">
      <c r="B18" s="137"/>
      <c r="C18" s="188" t="s">
        <v>234</v>
      </c>
      <c r="D18" s="47">
        <v>8</v>
      </c>
      <c r="E18" s="47">
        <v>27</v>
      </c>
      <c r="F18" s="47">
        <v>8</v>
      </c>
      <c r="G18" s="40">
        <v>27</v>
      </c>
      <c r="H18" s="27"/>
      <c r="I18" s="27"/>
      <c r="J18" s="27"/>
      <c r="K18" s="27"/>
      <c r="L18" s="27"/>
      <c r="M18" s="27"/>
      <c r="N18" s="27"/>
      <c r="O18" s="27"/>
      <c r="P18" s="138"/>
    </row>
    <row r="19" spans="2:16" x14ac:dyDescent="0.25">
      <c r="B19" s="137"/>
      <c r="C19" s="188" t="s">
        <v>235</v>
      </c>
      <c r="D19" s="47">
        <v>8</v>
      </c>
      <c r="E19" s="47">
        <v>27</v>
      </c>
      <c r="F19" s="47">
        <v>8</v>
      </c>
      <c r="G19" s="40">
        <v>27</v>
      </c>
      <c r="H19" s="27"/>
      <c r="I19" s="27"/>
      <c r="J19" s="27"/>
      <c r="K19" s="27"/>
      <c r="L19" s="27"/>
      <c r="M19" s="27"/>
      <c r="N19" s="27"/>
      <c r="O19" s="27"/>
      <c r="P19" s="138"/>
    </row>
    <row r="20" spans="2:16" x14ac:dyDescent="0.25">
      <c r="B20" s="137"/>
      <c r="C20" s="188" t="s">
        <v>236</v>
      </c>
      <c r="D20" s="47">
        <v>1</v>
      </c>
      <c r="E20" s="47">
        <v>27</v>
      </c>
      <c r="F20" s="47">
        <v>1</v>
      </c>
      <c r="G20" s="40">
        <v>27</v>
      </c>
      <c r="H20" s="27"/>
      <c r="I20" s="27"/>
      <c r="J20" s="27"/>
      <c r="K20" s="27"/>
      <c r="L20" s="27"/>
      <c r="M20" s="27"/>
      <c r="N20" s="27"/>
      <c r="O20" s="27"/>
      <c r="P20" s="138"/>
    </row>
    <row r="21" spans="2:16" x14ac:dyDescent="0.25">
      <c r="B21" s="137"/>
      <c r="C21" s="188" t="s">
        <v>215</v>
      </c>
      <c r="D21" s="47">
        <v>1</v>
      </c>
      <c r="E21" s="47">
        <v>27</v>
      </c>
      <c r="F21" s="47">
        <v>1</v>
      </c>
      <c r="G21" s="40">
        <v>27</v>
      </c>
      <c r="H21" s="27"/>
      <c r="I21" s="27"/>
      <c r="J21" s="27"/>
      <c r="K21" s="27"/>
      <c r="L21" s="27"/>
      <c r="M21" s="27"/>
      <c r="N21" s="27"/>
      <c r="O21" s="27"/>
      <c r="P21" s="138"/>
    </row>
    <row r="22" spans="2:16" x14ac:dyDescent="0.25">
      <c r="B22" s="137"/>
      <c r="C22" s="188" t="s">
        <v>237</v>
      </c>
      <c r="D22" s="47">
        <v>1</v>
      </c>
      <c r="E22" s="47">
        <v>27</v>
      </c>
      <c r="F22" s="47">
        <v>1</v>
      </c>
      <c r="G22" s="40">
        <v>27</v>
      </c>
      <c r="H22" s="27"/>
      <c r="I22" s="27"/>
      <c r="J22" s="27"/>
      <c r="K22" s="27"/>
      <c r="L22" s="27"/>
      <c r="M22" s="27"/>
      <c r="N22" s="27"/>
      <c r="O22" s="27"/>
      <c r="P22" s="138"/>
    </row>
    <row r="23" spans="2:16" x14ac:dyDescent="0.25">
      <c r="B23" s="137"/>
      <c r="C23" s="188" t="s">
        <v>216</v>
      </c>
      <c r="D23" s="47">
        <v>8</v>
      </c>
      <c r="E23" s="47">
        <v>27</v>
      </c>
      <c r="F23" s="47">
        <v>8</v>
      </c>
      <c r="G23" s="40">
        <v>27</v>
      </c>
      <c r="H23" s="27"/>
      <c r="I23" s="27"/>
      <c r="J23" s="27"/>
      <c r="K23" s="27"/>
      <c r="L23" s="27"/>
      <c r="M23" s="27"/>
      <c r="N23" s="27"/>
      <c r="O23" s="27"/>
      <c r="P23" s="138"/>
    </row>
    <row r="24" spans="2:16" x14ac:dyDescent="0.25">
      <c r="B24" s="137"/>
      <c r="C24" s="188" t="s">
        <v>238</v>
      </c>
      <c r="D24" s="47">
        <v>8</v>
      </c>
      <c r="E24" s="47">
        <v>27</v>
      </c>
      <c r="F24" s="47">
        <v>8</v>
      </c>
      <c r="G24" s="40">
        <v>27</v>
      </c>
      <c r="H24" s="27"/>
      <c r="I24" s="27"/>
      <c r="J24" s="27"/>
      <c r="K24" s="27"/>
      <c r="L24" s="27"/>
      <c r="M24" s="27"/>
      <c r="N24" s="27"/>
      <c r="O24" s="27"/>
      <c r="P24" s="138"/>
    </row>
    <row r="25" spans="2:16" x14ac:dyDescent="0.25">
      <c r="B25" s="137"/>
      <c r="C25" s="188" t="s">
        <v>239</v>
      </c>
      <c r="D25" s="47">
        <v>8</v>
      </c>
      <c r="E25" s="47">
        <v>27</v>
      </c>
      <c r="F25" s="47">
        <v>8</v>
      </c>
      <c r="G25" s="40">
        <v>27</v>
      </c>
      <c r="H25" s="27"/>
      <c r="I25" s="27"/>
      <c r="J25" s="27"/>
      <c r="K25" s="27"/>
      <c r="L25" s="27"/>
      <c r="M25" s="27"/>
      <c r="N25" s="27"/>
      <c r="O25" s="27"/>
      <c r="P25" s="138"/>
    </row>
    <row r="26" spans="2:16" x14ac:dyDescent="0.25">
      <c r="B26" s="137"/>
      <c r="C26" s="188" t="s">
        <v>240</v>
      </c>
      <c r="D26" s="47">
        <v>8</v>
      </c>
      <c r="E26" s="47">
        <v>27</v>
      </c>
      <c r="F26" s="47">
        <v>8</v>
      </c>
      <c r="G26" s="40">
        <v>27</v>
      </c>
      <c r="H26" s="27"/>
      <c r="I26" s="27"/>
      <c r="J26" s="27"/>
      <c r="K26" s="27"/>
      <c r="L26" s="27"/>
      <c r="M26" s="27"/>
      <c r="N26" s="27"/>
      <c r="O26" s="27"/>
      <c r="P26" s="138"/>
    </row>
    <row r="27" spans="2:16" x14ac:dyDescent="0.25">
      <c r="B27" s="137"/>
      <c r="C27" s="188" t="s">
        <v>241</v>
      </c>
      <c r="D27" s="47">
        <v>8</v>
      </c>
      <c r="E27" s="47">
        <v>27</v>
      </c>
      <c r="F27" s="47">
        <v>8</v>
      </c>
      <c r="G27" s="40">
        <v>27</v>
      </c>
      <c r="H27" s="27"/>
      <c r="I27" s="27"/>
      <c r="J27" s="27"/>
      <c r="K27" s="27"/>
      <c r="L27" s="27"/>
      <c r="M27" s="27"/>
      <c r="N27" s="27"/>
      <c r="O27" s="27"/>
      <c r="P27" s="138"/>
    </row>
    <row r="28" spans="2:16" x14ac:dyDescent="0.25">
      <c r="B28" s="137"/>
      <c r="C28" s="188" t="s">
        <v>242</v>
      </c>
      <c r="D28" s="47">
        <v>2</v>
      </c>
      <c r="E28" s="47">
        <v>27</v>
      </c>
      <c r="F28" s="47">
        <v>2</v>
      </c>
      <c r="G28" s="40">
        <v>27</v>
      </c>
      <c r="H28" s="27"/>
      <c r="I28" s="27"/>
      <c r="J28" s="27"/>
      <c r="K28" s="27"/>
      <c r="L28" s="27"/>
      <c r="M28" s="27"/>
      <c r="N28" s="27"/>
      <c r="O28" s="27"/>
      <c r="P28" s="138"/>
    </row>
    <row r="29" spans="2:16" x14ac:dyDescent="0.25">
      <c r="B29" s="137"/>
      <c r="C29" s="188" t="s">
        <v>243</v>
      </c>
      <c r="D29" s="47">
        <v>8</v>
      </c>
      <c r="E29" s="47">
        <v>27</v>
      </c>
      <c r="F29" s="47">
        <v>8</v>
      </c>
      <c r="G29" s="40">
        <v>27</v>
      </c>
      <c r="H29" s="27"/>
      <c r="I29" s="27"/>
      <c r="J29" s="27"/>
      <c r="K29" s="27"/>
      <c r="L29" s="27"/>
      <c r="M29" s="27"/>
      <c r="N29" s="27"/>
      <c r="O29" s="27"/>
      <c r="P29" s="138"/>
    </row>
    <row r="30" spans="2:16" x14ac:dyDescent="0.25">
      <c r="B30" s="137"/>
      <c r="C30" s="188" t="s">
        <v>244</v>
      </c>
      <c r="D30" s="47">
        <v>8</v>
      </c>
      <c r="E30" s="47">
        <v>27</v>
      </c>
      <c r="F30" s="47">
        <v>8</v>
      </c>
      <c r="G30" s="40">
        <v>27</v>
      </c>
      <c r="H30" s="27"/>
      <c r="I30" s="27"/>
      <c r="J30" s="27"/>
      <c r="K30" s="27"/>
      <c r="L30" s="27"/>
      <c r="M30" s="27"/>
      <c r="N30" s="27"/>
      <c r="O30" s="27"/>
      <c r="P30" s="138"/>
    </row>
    <row r="31" spans="2:16" x14ac:dyDescent="0.25">
      <c r="B31" s="137"/>
      <c r="C31" s="188" t="s">
        <v>245</v>
      </c>
      <c r="D31" s="47">
        <v>8</v>
      </c>
      <c r="E31" s="47">
        <v>27</v>
      </c>
      <c r="F31" s="47">
        <v>8</v>
      </c>
      <c r="G31" s="40">
        <v>27</v>
      </c>
      <c r="H31" s="27"/>
      <c r="I31" s="27"/>
      <c r="J31" s="27"/>
      <c r="K31" s="27"/>
      <c r="L31" s="27"/>
      <c r="M31" s="27"/>
      <c r="N31" s="27"/>
      <c r="O31" s="27"/>
      <c r="P31" s="138"/>
    </row>
    <row r="32" spans="2:16" x14ac:dyDescent="0.25">
      <c r="B32" s="137"/>
      <c r="C32" s="188" t="s">
        <v>246</v>
      </c>
      <c r="D32" s="47">
        <v>8</v>
      </c>
      <c r="E32" s="47">
        <v>27</v>
      </c>
      <c r="F32" s="47">
        <v>8</v>
      </c>
      <c r="G32" s="40">
        <v>27</v>
      </c>
      <c r="H32" s="27"/>
      <c r="I32" s="27"/>
      <c r="J32" s="27"/>
      <c r="K32" s="27"/>
      <c r="L32" s="27"/>
      <c r="M32" s="27"/>
      <c r="N32" s="27"/>
      <c r="O32" s="27"/>
      <c r="P32" s="138"/>
    </row>
    <row r="33" spans="2:16" x14ac:dyDescent="0.25">
      <c r="B33" s="137"/>
      <c r="C33" s="188" t="s">
        <v>247</v>
      </c>
      <c r="D33" s="47">
        <v>8</v>
      </c>
      <c r="E33" s="47">
        <v>27</v>
      </c>
      <c r="F33" s="47">
        <v>8</v>
      </c>
      <c r="G33" s="40">
        <v>27</v>
      </c>
      <c r="H33" s="27"/>
      <c r="I33" s="27"/>
      <c r="J33" s="27"/>
      <c r="K33" s="27"/>
      <c r="L33" s="27"/>
      <c r="M33" s="27"/>
      <c r="N33" s="27"/>
      <c r="O33" s="27"/>
      <c r="P33" s="138"/>
    </row>
    <row r="34" spans="2:16" x14ac:dyDescent="0.25">
      <c r="B34" s="137"/>
      <c r="C34" s="188" t="s">
        <v>107</v>
      </c>
      <c r="D34" s="47">
        <v>9.6999999999999993</v>
      </c>
      <c r="E34" s="47"/>
      <c r="F34" s="47">
        <v>9.6999999999999993</v>
      </c>
      <c r="G34" s="44"/>
      <c r="H34" s="27"/>
      <c r="I34" s="27"/>
      <c r="J34" s="27"/>
      <c r="K34" s="27"/>
      <c r="L34" s="27"/>
      <c r="M34" s="27"/>
      <c r="N34" s="27"/>
      <c r="O34" s="27"/>
      <c r="P34" s="138"/>
    </row>
    <row r="35" spans="2:16" x14ac:dyDescent="0.25">
      <c r="B35" s="137"/>
      <c r="C35" s="188" t="s">
        <v>100</v>
      </c>
      <c r="D35" s="47">
        <v>11.6</v>
      </c>
      <c r="E35" s="47"/>
      <c r="F35" s="47">
        <v>11.6</v>
      </c>
      <c r="G35" s="44"/>
      <c r="H35" s="27"/>
      <c r="I35" s="27"/>
      <c r="J35" s="27"/>
      <c r="K35" s="27"/>
      <c r="L35" s="27"/>
      <c r="M35" s="27"/>
      <c r="N35" s="27"/>
      <c r="O35" s="27"/>
      <c r="P35" s="138"/>
    </row>
    <row r="36" spans="2:16" x14ac:dyDescent="0.25">
      <c r="B36" s="137"/>
      <c r="C36" s="188" t="s">
        <v>108</v>
      </c>
      <c r="D36" s="47"/>
      <c r="E36" s="47"/>
      <c r="F36" s="47"/>
      <c r="G36" s="40"/>
      <c r="H36" s="27"/>
      <c r="I36" s="27"/>
      <c r="J36" s="27"/>
      <c r="K36" s="27"/>
      <c r="L36" s="27"/>
      <c r="M36" s="27"/>
      <c r="N36" s="27"/>
      <c r="O36" s="27"/>
      <c r="P36" s="138"/>
    </row>
    <row r="37" spans="2:16" x14ac:dyDescent="0.25">
      <c r="B37" s="137"/>
      <c r="C37" s="188" t="s">
        <v>109</v>
      </c>
      <c r="D37" s="47"/>
      <c r="E37" s="47"/>
      <c r="F37" s="47"/>
      <c r="G37" s="40"/>
      <c r="H37" s="27"/>
      <c r="I37" s="27"/>
      <c r="J37" s="27"/>
      <c r="K37" s="27"/>
      <c r="L37" s="27"/>
      <c r="M37" s="27"/>
      <c r="N37" s="27"/>
      <c r="O37" s="27"/>
      <c r="P37" s="138"/>
    </row>
    <row r="38" spans="2:16" x14ac:dyDescent="0.25">
      <c r="B38" s="137"/>
      <c r="C38" s="27"/>
      <c r="D38" s="27"/>
      <c r="E38" s="27"/>
      <c r="F38" s="27"/>
      <c r="G38" s="27"/>
      <c r="H38" s="27"/>
      <c r="I38" s="27"/>
      <c r="J38" s="27"/>
      <c r="K38" s="27"/>
      <c r="L38" s="27"/>
      <c r="M38" s="27"/>
      <c r="N38" s="27"/>
      <c r="O38" s="27"/>
      <c r="P38" s="138"/>
    </row>
    <row r="39" spans="2:16" x14ac:dyDescent="0.25">
      <c r="B39" s="137"/>
      <c r="C39" s="27" t="s">
        <v>122</v>
      </c>
      <c r="D39" s="27"/>
      <c r="E39" s="27"/>
      <c r="F39" s="27"/>
      <c r="G39" s="27"/>
      <c r="H39" s="27"/>
      <c r="I39" s="27"/>
      <c r="J39" s="27"/>
      <c r="K39" s="27"/>
      <c r="L39" s="27"/>
      <c r="M39" s="27"/>
      <c r="N39" s="27"/>
      <c r="O39" s="27"/>
      <c r="P39" s="138"/>
    </row>
    <row r="40" spans="2:16" ht="28.2" thickBot="1" x14ac:dyDescent="0.3">
      <c r="B40" s="137"/>
      <c r="C40" s="35" t="s">
        <v>0</v>
      </c>
      <c r="D40" s="35" t="s">
        <v>1</v>
      </c>
      <c r="E40" s="35" t="s">
        <v>92</v>
      </c>
      <c r="F40" s="35" t="s">
        <v>2</v>
      </c>
      <c r="G40" s="35" t="s">
        <v>3</v>
      </c>
      <c r="H40" s="35" t="s">
        <v>4</v>
      </c>
      <c r="I40" s="35" t="s">
        <v>256</v>
      </c>
      <c r="J40" s="48" t="s">
        <v>95</v>
      </c>
      <c r="K40" s="48" t="s">
        <v>205</v>
      </c>
      <c r="L40" s="48" t="s">
        <v>186</v>
      </c>
      <c r="M40" s="48" t="s">
        <v>187</v>
      </c>
      <c r="N40" s="48" t="s">
        <v>184</v>
      </c>
      <c r="O40" s="43" t="s">
        <v>185</v>
      </c>
      <c r="P40" s="138"/>
    </row>
    <row r="41" spans="2:16" ht="14.4" thickTop="1" x14ac:dyDescent="0.25">
      <c r="B41" s="137"/>
      <c r="C41" s="189" t="s">
        <v>217</v>
      </c>
      <c r="D41" s="189" t="s">
        <v>7</v>
      </c>
      <c r="E41" s="189" t="b">
        <v>0</v>
      </c>
      <c r="F41" s="189" t="s">
        <v>8</v>
      </c>
      <c r="G41" s="189" t="s">
        <v>9</v>
      </c>
      <c r="H41" s="36" t="str">
        <f>C41&amp;"|"&amp;D41&amp;"|"&amp;E41&amp;"|"&amp;F41&amp;"|"&amp;G41</f>
        <v>Wensum|Cereals|FALSE|600to700|FreeDrain</v>
      </c>
      <c r="I41" s="133">
        <v>5.4275224678316372E-2</v>
      </c>
      <c r="J41" s="133">
        <v>26.54388787863137</v>
      </c>
      <c r="K41" s="36" t="str">
        <f>D41&amp;"|"&amp;F41</f>
        <v>Cereals|600to700</v>
      </c>
      <c r="L41" s="133">
        <f>AVERAGE(I41,I43,I45)</f>
        <v>0.31755620153666669</v>
      </c>
      <c r="M41" s="133">
        <f>AVERAGE(J41,J43,J45)</f>
        <v>21.98707890335815</v>
      </c>
      <c r="N41" s="50">
        <f>AVERAGE(I41:I52)</f>
        <v>0.46938250797558506</v>
      </c>
      <c r="O41" s="216">
        <f>AVERAGE(J41:J52)</f>
        <v>23.871120323978815</v>
      </c>
      <c r="P41" s="138"/>
    </row>
    <row r="42" spans="2:16" x14ac:dyDescent="0.25">
      <c r="B42" s="137"/>
      <c r="C42" s="189" t="s">
        <v>217</v>
      </c>
      <c r="D42" s="189" t="s">
        <v>7</v>
      </c>
      <c r="E42" s="189" t="b">
        <v>1</v>
      </c>
      <c r="F42" s="189" t="s">
        <v>8</v>
      </c>
      <c r="G42" s="189" t="s">
        <v>9</v>
      </c>
      <c r="H42" s="36" t="str">
        <f t="shared" ref="H42:H105" si="0">C42&amp;"|"&amp;D42&amp;"|"&amp;E42&amp;"|"&amp;F42&amp;"|"&amp;G42</f>
        <v>Wensum|Cereals|TRUE|600to700|FreeDrain</v>
      </c>
      <c r="I42" s="133">
        <v>5.4270943193136953E-2</v>
      </c>
      <c r="J42" s="133">
        <v>26.468500344899152</v>
      </c>
      <c r="K42" s="36" t="str">
        <f t="shared" ref="K42:K105" si="1">D42&amp;"|"&amp;F42</f>
        <v>Cereals|600to700</v>
      </c>
      <c r="L42" s="133"/>
      <c r="M42" s="133"/>
      <c r="N42" s="50"/>
      <c r="O42" s="215"/>
      <c r="P42" s="138"/>
    </row>
    <row r="43" spans="2:16" x14ac:dyDescent="0.25">
      <c r="B43" s="137"/>
      <c r="C43" s="189" t="s">
        <v>217</v>
      </c>
      <c r="D43" s="189" t="s">
        <v>7</v>
      </c>
      <c r="E43" s="189" t="b">
        <v>0</v>
      </c>
      <c r="F43" s="189" t="s">
        <v>8</v>
      </c>
      <c r="G43" s="189" t="s">
        <v>10</v>
      </c>
      <c r="H43" s="36" t="str">
        <f t="shared" si="0"/>
        <v>Wensum|Cereals|FALSE|600to700|DrainedAr</v>
      </c>
      <c r="I43" s="133">
        <v>0.33983727969969041</v>
      </c>
      <c r="J43" s="133">
        <v>19.163950278914385</v>
      </c>
      <c r="K43" s="36" t="str">
        <f t="shared" si="1"/>
        <v>Cereals|600to700</v>
      </c>
      <c r="L43" s="133"/>
      <c r="M43" s="133"/>
      <c r="N43" s="50"/>
      <c r="O43" s="215"/>
      <c r="P43" s="138"/>
    </row>
    <row r="44" spans="2:16" x14ac:dyDescent="0.25">
      <c r="B44" s="137"/>
      <c r="C44" s="189" t="s">
        <v>217</v>
      </c>
      <c r="D44" s="189" t="s">
        <v>7</v>
      </c>
      <c r="E44" s="189" t="b">
        <v>1</v>
      </c>
      <c r="F44" s="189" t="s">
        <v>8</v>
      </c>
      <c r="G44" s="189" t="s">
        <v>10</v>
      </c>
      <c r="H44" s="36" t="str">
        <f t="shared" si="0"/>
        <v>Wensum|Cereals|TRUE|600to700|DrainedAr</v>
      </c>
      <c r="I44" s="133">
        <v>0.33980060996948158</v>
      </c>
      <c r="J44" s="133">
        <v>19.112987925886724</v>
      </c>
      <c r="K44" s="36" t="str">
        <f t="shared" si="1"/>
        <v>Cereals|600to700</v>
      </c>
      <c r="L44" s="133"/>
      <c r="M44" s="133"/>
      <c r="N44" s="50"/>
      <c r="O44" s="215"/>
      <c r="P44" s="138"/>
    </row>
    <row r="45" spans="2:16" x14ac:dyDescent="0.25">
      <c r="B45" s="137"/>
      <c r="C45" s="189" t="s">
        <v>217</v>
      </c>
      <c r="D45" s="189" t="s">
        <v>7</v>
      </c>
      <c r="E45" s="189" t="b">
        <v>0</v>
      </c>
      <c r="F45" s="189" t="s">
        <v>8</v>
      </c>
      <c r="G45" s="189" t="s">
        <v>11</v>
      </c>
      <c r="H45" s="36" t="str">
        <f t="shared" si="0"/>
        <v>Wensum|Cereals|FALSE|600to700|DrainedArGr</v>
      </c>
      <c r="I45" s="133">
        <v>0.55855610023199342</v>
      </c>
      <c r="J45" s="133">
        <v>20.25339855252869</v>
      </c>
      <c r="K45" s="36" t="str">
        <f t="shared" si="1"/>
        <v>Cereals|600to700</v>
      </c>
      <c r="L45" s="133"/>
      <c r="M45" s="133"/>
      <c r="N45" s="50"/>
      <c r="O45" s="215"/>
      <c r="P45" s="138"/>
    </row>
    <row r="46" spans="2:16" x14ac:dyDescent="0.25">
      <c r="B46" s="137"/>
      <c r="C46" s="189" t="s">
        <v>217</v>
      </c>
      <c r="D46" s="189" t="s">
        <v>7</v>
      </c>
      <c r="E46" s="189" t="b">
        <v>1</v>
      </c>
      <c r="F46" s="189" t="s">
        <v>8</v>
      </c>
      <c r="G46" s="189" t="s">
        <v>11</v>
      </c>
      <c r="H46" s="36" t="str">
        <f t="shared" si="0"/>
        <v>Wensum|Cereals|TRUE|600to700|DrainedArGr</v>
      </c>
      <c r="I46" s="133">
        <v>0.55848487909082245</v>
      </c>
      <c r="J46" s="133">
        <v>20.203124159198481</v>
      </c>
      <c r="K46" s="36" t="str">
        <f t="shared" si="1"/>
        <v>Cereals|600to700</v>
      </c>
      <c r="L46" s="133"/>
      <c r="M46" s="133"/>
      <c r="N46" s="50"/>
      <c r="O46" s="215"/>
      <c r="P46" s="138"/>
    </row>
    <row r="47" spans="2:16" x14ac:dyDescent="0.25">
      <c r="B47" s="137"/>
      <c r="C47" s="189" t="s">
        <v>217</v>
      </c>
      <c r="D47" s="189" t="s">
        <v>7</v>
      </c>
      <c r="E47" s="189" t="b">
        <v>0</v>
      </c>
      <c r="F47" s="189" t="s">
        <v>12</v>
      </c>
      <c r="G47" s="189" t="s">
        <v>9</v>
      </c>
      <c r="H47" s="36" t="str">
        <f t="shared" si="0"/>
        <v>Wensum|Cereals|FALSE|700to900|FreeDrain</v>
      </c>
      <c r="I47" s="133">
        <v>0.15077281689068139</v>
      </c>
      <c r="J47" s="133">
        <v>31.612518411690296</v>
      </c>
      <c r="K47" s="36" t="str">
        <f t="shared" si="1"/>
        <v>Cereals|700to900</v>
      </c>
      <c r="L47" s="133">
        <f>AVERAGE(I47,I49,I51)</f>
        <v>0.62125182505808785</v>
      </c>
      <c r="M47" s="133">
        <f>AVERAGE(J47,J49,J51)</f>
        <v>25.818384902980796</v>
      </c>
      <c r="N47" s="50"/>
      <c r="O47" s="215"/>
      <c r="P47" s="138"/>
    </row>
    <row r="48" spans="2:16" x14ac:dyDescent="0.25">
      <c r="B48" s="137"/>
      <c r="C48" s="189" t="s">
        <v>217</v>
      </c>
      <c r="D48" s="189" t="s">
        <v>7</v>
      </c>
      <c r="E48" s="189" t="b">
        <v>1</v>
      </c>
      <c r="F48" s="189" t="s">
        <v>12</v>
      </c>
      <c r="G48" s="189" t="s">
        <v>9</v>
      </c>
      <c r="H48" s="36" t="str">
        <f t="shared" si="0"/>
        <v>Wensum|Cereals|TRUE|700to900|FreeDrain</v>
      </c>
      <c r="I48" s="133">
        <v>0.15076495916421234</v>
      </c>
      <c r="J48" s="133">
        <v>31.523271634524313</v>
      </c>
      <c r="K48" s="36" t="str">
        <f t="shared" si="1"/>
        <v>Cereals|700to900</v>
      </c>
      <c r="L48" s="133"/>
      <c r="M48" s="133"/>
      <c r="N48" s="50"/>
      <c r="O48" s="215"/>
      <c r="P48" s="138"/>
    </row>
    <row r="49" spans="2:16" x14ac:dyDescent="0.25">
      <c r="B49" s="137"/>
      <c r="C49" s="189" t="s">
        <v>217</v>
      </c>
      <c r="D49" s="189" t="s">
        <v>7</v>
      </c>
      <c r="E49" s="189" t="b">
        <v>0</v>
      </c>
      <c r="F49" s="189" t="s">
        <v>12</v>
      </c>
      <c r="G49" s="189" t="s">
        <v>10</v>
      </c>
      <c r="H49" s="36" t="str">
        <f t="shared" si="0"/>
        <v>Wensum|Cereals|FALSE|700to900|DrainedAr</v>
      </c>
      <c r="I49" s="133">
        <v>0.73068781592629695</v>
      </c>
      <c r="J49" s="133">
        <v>23.816969245584708</v>
      </c>
      <c r="K49" s="36" t="str">
        <f t="shared" si="1"/>
        <v>Cereals|700to900</v>
      </c>
      <c r="L49" s="133"/>
      <c r="M49" s="133"/>
      <c r="N49" s="50"/>
      <c r="O49" s="215"/>
      <c r="P49" s="138"/>
    </row>
    <row r="50" spans="2:16" x14ac:dyDescent="0.25">
      <c r="B50" s="137"/>
      <c r="C50" s="189" t="s">
        <v>217</v>
      </c>
      <c r="D50" s="189" t="s">
        <v>7</v>
      </c>
      <c r="E50" s="189" t="b">
        <v>1</v>
      </c>
      <c r="F50" s="189" t="s">
        <v>12</v>
      </c>
      <c r="G50" s="189" t="s">
        <v>10</v>
      </c>
      <c r="H50" s="36" t="str">
        <f t="shared" si="0"/>
        <v>Wensum|Cereals|TRUE|700to900|DrainedAr</v>
      </c>
      <c r="I50" s="133">
        <v>0.73064001773825338</v>
      </c>
      <c r="J50" s="133">
        <v>23.754911298593985</v>
      </c>
      <c r="K50" s="36" t="str">
        <f t="shared" si="1"/>
        <v>Cereals|700to900</v>
      </c>
      <c r="L50" s="133"/>
      <c r="M50" s="133"/>
      <c r="N50" s="50"/>
      <c r="O50" s="215"/>
      <c r="P50" s="138"/>
    </row>
    <row r="51" spans="2:16" x14ac:dyDescent="0.25">
      <c r="B51" s="137"/>
      <c r="C51" s="189" t="s">
        <v>217</v>
      </c>
      <c r="D51" s="189" t="s">
        <v>7</v>
      </c>
      <c r="E51" s="189" t="b">
        <v>0</v>
      </c>
      <c r="F51" s="189" t="s">
        <v>12</v>
      </c>
      <c r="G51" s="189" t="s">
        <v>11</v>
      </c>
      <c r="H51" s="36" t="str">
        <f t="shared" si="0"/>
        <v>Wensum|Cereals|FALSE|700to900|DrainedArGr</v>
      </c>
      <c r="I51" s="133">
        <v>0.98229484235728526</v>
      </c>
      <c r="J51" s="133">
        <v>22.02566705166738</v>
      </c>
      <c r="K51" s="36" t="str">
        <f t="shared" si="1"/>
        <v>Cereals|700to900</v>
      </c>
      <c r="L51" s="133"/>
      <c r="M51" s="133"/>
      <c r="N51" s="50"/>
      <c r="O51" s="215"/>
      <c r="P51" s="138"/>
    </row>
    <row r="52" spans="2:16" x14ac:dyDescent="0.25">
      <c r="B52" s="137"/>
      <c r="C52" s="189" t="s">
        <v>217</v>
      </c>
      <c r="D52" s="189" t="s">
        <v>7</v>
      </c>
      <c r="E52" s="189" t="b">
        <v>1</v>
      </c>
      <c r="F52" s="189" t="s">
        <v>12</v>
      </c>
      <c r="G52" s="189" t="s">
        <v>11</v>
      </c>
      <c r="H52" s="36" t="str">
        <f t="shared" si="0"/>
        <v>Wensum|Cereals|TRUE|700to900|DrainedArGr</v>
      </c>
      <c r="I52" s="133">
        <v>0.98220460676685017</v>
      </c>
      <c r="J52" s="133">
        <v>21.974257105626293</v>
      </c>
      <c r="K52" s="36" t="str">
        <f t="shared" si="1"/>
        <v>Cereals|700to900</v>
      </c>
      <c r="L52" s="133"/>
      <c r="M52" s="133"/>
      <c r="N52" s="50"/>
      <c r="O52" s="215"/>
      <c r="P52" s="138"/>
    </row>
    <row r="53" spans="2:16" x14ac:dyDescent="0.25">
      <c r="B53" s="137"/>
      <c r="C53" s="189" t="s">
        <v>217</v>
      </c>
      <c r="D53" s="189" t="s">
        <v>25</v>
      </c>
      <c r="E53" s="189" t="b">
        <v>0</v>
      </c>
      <c r="F53" s="189" t="s">
        <v>8</v>
      </c>
      <c r="G53" s="189" t="s">
        <v>9</v>
      </c>
      <c r="H53" s="36" t="str">
        <f t="shared" si="0"/>
        <v>Wensum|General|FALSE|600to700|FreeDrain</v>
      </c>
      <c r="I53" s="133">
        <v>4.9750480326866631E-2</v>
      </c>
      <c r="J53" s="133">
        <v>25.346157052860455</v>
      </c>
      <c r="K53" s="36" t="str">
        <f t="shared" si="1"/>
        <v>General|600to700</v>
      </c>
      <c r="L53" s="133">
        <f>AVERAGE(I53,I55,I57)</f>
        <v>0.29543093974464574</v>
      </c>
      <c r="M53" s="133">
        <f>AVERAGE(J53,J55,J57)</f>
        <v>20.412462366580808</v>
      </c>
      <c r="N53" s="50">
        <f>AVERAGE(I53:I63)</f>
        <v>0.41821379497198558</v>
      </c>
      <c r="O53" s="215">
        <f>AVERAGE(J53:J63)</f>
        <v>22.422722742979126</v>
      </c>
      <c r="P53" s="138"/>
    </row>
    <row r="54" spans="2:16" x14ac:dyDescent="0.25">
      <c r="B54" s="137"/>
      <c r="C54" s="189" t="s">
        <v>217</v>
      </c>
      <c r="D54" s="189" t="s">
        <v>25</v>
      </c>
      <c r="E54" s="189" t="b">
        <v>1</v>
      </c>
      <c r="F54" s="189" t="s">
        <v>8</v>
      </c>
      <c r="G54" s="189" t="s">
        <v>9</v>
      </c>
      <c r="H54" s="36" t="str">
        <f t="shared" si="0"/>
        <v>Wensum|General|TRUE|600to700|FreeDrain</v>
      </c>
      <c r="I54" s="133">
        <v>4.9750480326866631E-2</v>
      </c>
      <c r="J54" s="133">
        <v>25.282454997506896</v>
      </c>
      <c r="K54" s="36" t="str">
        <f t="shared" si="1"/>
        <v>General|600to700</v>
      </c>
      <c r="L54" s="133"/>
      <c r="M54" s="133"/>
      <c r="N54" s="50"/>
      <c r="O54" s="215"/>
      <c r="P54" s="138"/>
    </row>
    <row r="55" spans="2:16" x14ac:dyDescent="0.25">
      <c r="B55" s="137"/>
      <c r="C55" s="189" t="s">
        <v>217</v>
      </c>
      <c r="D55" s="189" t="s">
        <v>25</v>
      </c>
      <c r="E55" s="189" t="b">
        <v>0</v>
      </c>
      <c r="F55" s="189" t="s">
        <v>8</v>
      </c>
      <c r="G55" s="189" t="s">
        <v>10</v>
      </c>
      <c r="H55" s="36" t="str">
        <f t="shared" si="0"/>
        <v>Wensum|General|FALSE|600to700|DrainedAr</v>
      </c>
      <c r="I55" s="133">
        <v>0.30983394285335975</v>
      </c>
      <c r="J55" s="133">
        <v>17.665946232477602</v>
      </c>
      <c r="K55" s="36" t="str">
        <f t="shared" si="1"/>
        <v>General|600to700</v>
      </c>
      <c r="L55" s="133"/>
      <c r="M55" s="133"/>
      <c r="N55" s="50"/>
      <c r="O55" s="215"/>
      <c r="P55" s="138"/>
    </row>
    <row r="56" spans="2:16" x14ac:dyDescent="0.25">
      <c r="B56" s="137"/>
      <c r="C56" s="189" t="s">
        <v>217</v>
      </c>
      <c r="D56" s="189" t="s">
        <v>25</v>
      </c>
      <c r="E56" s="189" t="b">
        <v>1</v>
      </c>
      <c r="F56" s="189" t="s">
        <v>8</v>
      </c>
      <c r="G56" s="189" t="s">
        <v>10</v>
      </c>
      <c r="H56" s="36" t="str">
        <f t="shared" si="0"/>
        <v>Wensum|General|TRUE|600to700|DrainedAr</v>
      </c>
      <c r="I56" s="133">
        <v>0.30983394285335975</v>
      </c>
      <c r="J56" s="133">
        <v>17.624975866545448</v>
      </c>
      <c r="K56" s="36" t="str">
        <f t="shared" si="1"/>
        <v>General|600to700</v>
      </c>
      <c r="L56" s="133"/>
      <c r="M56" s="133"/>
      <c r="N56" s="50"/>
      <c r="O56" s="215"/>
      <c r="P56" s="138"/>
    </row>
    <row r="57" spans="2:16" x14ac:dyDescent="0.25">
      <c r="B57" s="137"/>
      <c r="C57" s="189" t="s">
        <v>217</v>
      </c>
      <c r="D57" s="189" t="s">
        <v>25</v>
      </c>
      <c r="E57" s="189" t="b">
        <v>1</v>
      </c>
      <c r="F57" s="189" t="s">
        <v>8</v>
      </c>
      <c r="G57" s="189" t="s">
        <v>11</v>
      </c>
      <c r="H57" s="36" t="str">
        <f t="shared" si="0"/>
        <v>Wensum|General|TRUE|600to700|DrainedArGr</v>
      </c>
      <c r="I57" s="133">
        <v>0.52670839605371089</v>
      </c>
      <c r="J57" s="133">
        <v>18.22528381440436</v>
      </c>
      <c r="K57" s="36" t="str">
        <f t="shared" si="1"/>
        <v>General|600to700</v>
      </c>
      <c r="L57" s="133"/>
      <c r="M57" s="133"/>
      <c r="N57" s="50"/>
      <c r="O57" s="215"/>
      <c r="P57" s="138"/>
    </row>
    <row r="58" spans="2:16" x14ac:dyDescent="0.25">
      <c r="B58" s="137"/>
      <c r="C58" s="189" t="s">
        <v>217</v>
      </c>
      <c r="D58" s="189" t="s">
        <v>25</v>
      </c>
      <c r="E58" s="189" t="b">
        <v>0</v>
      </c>
      <c r="F58" s="189" t="s">
        <v>12</v>
      </c>
      <c r="G58" s="189" t="s">
        <v>9</v>
      </c>
      <c r="H58" s="36" t="str">
        <f t="shared" si="0"/>
        <v>Wensum|General|FALSE|700to900|FreeDrain</v>
      </c>
      <c r="I58" s="133">
        <v>0.134776641075538</v>
      </c>
      <c r="J58" s="133">
        <v>30.045081620467091</v>
      </c>
      <c r="K58" s="36" t="str">
        <f t="shared" si="1"/>
        <v>General|700to900</v>
      </c>
      <c r="L58" s="133">
        <f>AVERAGE(I58,I60,I63)</f>
        <v>0.55907908371294623</v>
      </c>
      <c r="M58" s="133">
        <f>AVERAGE(J58,J60,J63)</f>
        <v>23.764989533870221</v>
      </c>
      <c r="N58" s="50"/>
      <c r="O58" s="215"/>
      <c r="P58" s="138"/>
    </row>
    <row r="59" spans="2:16" x14ac:dyDescent="0.25">
      <c r="B59" s="137"/>
      <c r="C59" s="189" t="s">
        <v>217</v>
      </c>
      <c r="D59" s="189" t="s">
        <v>25</v>
      </c>
      <c r="E59" s="189" t="b">
        <v>1</v>
      </c>
      <c r="F59" s="189" t="s">
        <v>12</v>
      </c>
      <c r="G59" s="189" t="s">
        <v>9</v>
      </c>
      <c r="H59" s="36" t="str">
        <f t="shared" si="0"/>
        <v>Wensum|General|TRUE|700to900|FreeDrain</v>
      </c>
      <c r="I59" s="133">
        <v>0.134776641075538</v>
      </c>
      <c r="J59" s="133">
        <v>29.970156385666801</v>
      </c>
      <c r="K59" s="36" t="str">
        <f t="shared" si="1"/>
        <v>General|700to900</v>
      </c>
      <c r="L59" s="133"/>
      <c r="M59" s="133"/>
      <c r="N59" s="50"/>
      <c r="O59" s="215"/>
      <c r="P59" s="138"/>
    </row>
    <row r="60" spans="2:16" x14ac:dyDescent="0.25">
      <c r="B60" s="137"/>
      <c r="C60" s="189" t="s">
        <v>217</v>
      </c>
      <c r="D60" s="189" t="s">
        <v>25</v>
      </c>
      <c r="E60" s="189" t="b">
        <v>0</v>
      </c>
      <c r="F60" s="189" t="s">
        <v>12</v>
      </c>
      <c r="G60" s="189" t="s">
        <v>10</v>
      </c>
      <c r="H60" s="36" t="str">
        <f t="shared" si="0"/>
        <v>Wensum|General|FALSE|700to900|DrainedAr</v>
      </c>
      <c r="I60" s="133">
        <v>0.64354905523717454</v>
      </c>
      <c r="J60" s="133">
        <v>21.772143493134024</v>
      </c>
      <c r="K60" s="36" t="str">
        <f t="shared" si="1"/>
        <v>General|700to900</v>
      </c>
      <c r="L60" s="133"/>
      <c r="M60" s="133"/>
      <c r="N60" s="50"/>
      <c r="O60" s="215"/>
      <c r="P60" s="138"/>
    </row>
    <row r="61" spans="2:16" x14ac:dyDescent="0.25">
      <c r="B61" s="137"/>
      <c r="C61" s="189" t="s">
        <v>217</v>
      </c>
      <c r="D61" s="189" t="s">
        <v>25</v>
      </c>
      <c r="E61" s="189" t="b">
        <v>1</v>
      </c>
      <c r="F61" s="189" t="s">
        <v>12</v>
      </c>
      <c r="G61" s="189" t="s">
        <v>10</v>
      </c>
      <c r="H61" s="36" t="str">
        <f t="shared" si="0"/>
        <v>Wensum|General|TRUE|700to900|DrainedAr</v>
      </c>
      <c r="I61" s="133">
        <v>0.64354905523717454</v>
      </c>
      <c r="J61" s="133">
        <v>21.722702548670917</v>
      </c>
      <c r="K61" s="36" t="str">
        <f t="shared" si="1"/>
        <v>General|700to900</v>
      </c>
      <c r="L61" s="133"/>
      <c r="M61" s="133"/>
      <c r="N61" s="50"/>
      <c r="O61" s="215"/>
      <c r="P61" s="138"/>
    </row>
    <row r="62" spans="2:16" x14ac:dyDescent="0.25">
      <c r="B62" s="137"/>
      <c r="C62" s="189" t="s">
        <v>217</v>
      </c>
      <c r="D62" s="189" t="s">
        <v>25</v>
      </c>
      <c r="E62" s="189" t="b">
        <v>0</v>
      </c>
      <c r="F62" s="189" t="s">
        <v>12</v>
      </c>
      <c r="G62" s="189" t="s">
        <v>11</v>
      </c>
      <c r="H62" s="36" t="str">
        <f t="shared" si="0"/>
        <v>Wensum|General|FALSE|700to900|DrainedArGr</v>
      </c>
      <c r="I62" s="133">
        <v>0.89891155482612617</v>
      </c>
      <c r="J62" s="133">
        <v>19.517304673027276</v>
      </c>
      <c r="K62" s="36" t="str">
        <f t="shared" si="1"/>
        <v>General|700to900</v>
      </c>
      <c r="L62" s="133"/>
      <c r="M62" s="133"/>
      <c r="N62" s="50"/>
      <c r="O62" s="215"/>
      <c r="P62" s="138"/>
    </row>
    <row r="63" spans="2:16" x14ac:dyDescent="0.25">
      <c r="B63" s="137"/>
      <c r="C63" s="189" t="s">
        <v>217</v>
      </c>
      <c r="D63" s="189" t="s">
        <v>25</v>
      </c>
      <c r="E63" s="189" t="b">
        <v>1</v>
      </c>
      <c r="F63" s="189" t="s">
        <v>12</v>
      </c>
      <c r="G63" s="189" t="s">
        <v>11</v>
      </c>
      <c r="H63" s="36" t="str">
        <f t="shared" si="0"/>
        <v>Wensum|General|TRUE|700to900|DrainedArGr</v>
      </c>
      <c r="I63" s="133">
        <v>0.89891155482612617</v>
      </c>
      <c r="J63" s="133">
        <v>19.477743488009551</v>
      </c>
      <c r="K63" s="36" t="str">
        <f t="shared" si="1"/>
        <v>General|700to900</v>
      </c>
      <c r="L63" s="133"/>
      <c r="M63" s="133"/>
      <c r="N63" s="50"/>
      <c r="O63" s="215"/>
      <c r="P63" s="138"/>
    </row>
    <row r="64" spans="2:16" x14ac:dyDescent="0.25">
      <c r="B64" s="137"/>
      <c r="C64" s="189" t="s">
        <v>217</v>
      </c>
      <c r="D64" s="189" t="s">
        <v>32</v>
      </c>
      <c r="E64" s="189" t="b">
        <v>0</v>
      </c>
      <c r="F64" s="189" t="s">
        <v>8</v>
      </c>
      <c r="G64" s="189" t="s">
        <v>9</v>
      </c>
      <c r="H64" s="36" t="str">
        <f t="shared" si="0"/>
        <v>Wensum|Horticulture|FALSE|600to700|FreeDrain</v>
      </c>
      <c r="I64" s="133">
        <v>5.0748597871126608E-2</v>
      </c>
      <c r="J64" s="133">
        <v>22.392004281670363</v>
      </c>
      <c r="K64" s="36" t="str">
        <f t="shared" si="1"/>
        <v>Horticulture|600to700</v>
      </c>
      <c r="L64" s="133">
        <f>AVERAGE(I64,I65,I147)</f>
        <v>0.30545818142872022</v>
      </c>
      <c r="M64" s="133">
        <f>AVERAGE(J64,J65,J147)</f>
        <v>17.971241982284262</v>
      </c>
      <c r="N64" s="50">
        <f>AVERAGE(I64:I69)</f>
        <v>0.42192063962557208</v>
      </c>
      <c r="O64" s="215">
        <f>AVERAGE(J64:J69)</f>
        <v>19.321683309600093</v>
      </c>
      <c r="P64" s="138"/>
    </row>
    <row r="65" spans="2:16" x14ac:dyDescent="0.25">
      <c r="B65" s="137"/>
      <c r="C65" s="189" t="s">
        <v>217</v>
      </c>
      <c r="D65" s="189" t="s">
        <v>32</v>
      </c>
      <c r="E65" s="189" t="b">
        <v>0</v>
      </c>
      <c r="F65" s="189" t="s">
        <v>8</v>
      </c>
      <c r="G65" s="189" t="s">
        <v>10</v>
      </c>
      <c r="H65" s="36" t="str">
        <f t="shared" si="0"/>
        <v>Wensum|Horticulture|FALSE|600to700|DrainedAr</v>
      </c>
      <c r="I65" s="133">
        <v>0.33287980421812863</v>
      </c>
      <c r="J65" s="133">
        <v>15.520661628195063</v>
      </c>
      <c r="K65" s="36" t="str">
        <f t="shared" si="1"/>
        <v>Horticulture|600to700</v>
      </c>
      <c r="L65" s="133"/>
      <c r="M65" s="133"/>
      <c r="N65" s="50"/>
      <c r="O65" s="215"/>
      <c r="P65" s="138"/>
    </row>
    <row r="66" spans="2:16" x14ac:dyDescent="0.25">
      <c r="B66" s="137"/>
      <c r="C66" s="189" t="s">
        <v>217</v>
      </c>
      <c r="D66" s="189" t="s">
        <v>32</v>
      </c>
      <c r="E66" s="189" t="b">
        <v>1</v>
      </c>
      <c r="F66" s="189" t="s">
        <v>8</v>
      </c>
      <c r="G66" s="189" t="s">
        <v>10</v>
      </c>
      <c r="H66" s="36" t="str">
        <f t="shared" si="0"/>
        <v>Wensum|Horticulture|TRUE|600to700|DrainedAr</v>
      </c>
      <c r="I66" s="133">
        <v>0.33287980421812863</v>
      </c>
      <c r="J66" s="133">
        <v>15.485008511860027</v>
      </c>
      <c r="K66" s="36" t="str">
        <f t="shared" si="1"/>
        <v>Horticulture|600to700</v>
      </c>
      <c r="L66" s="133"/>
      <c r="M66" s="133"/>
      <c r="N66" s="50"/>
      <c r="O66" s="215"/>
      <c r="P66" s="138"/>
    </row>
    <row r="67" spans="2:16" x14ac:dyDescent="0.25">
      <c r="B67" s="137"/>
      <c r="C67" s="189" t="s">
        <v>217</v>
      </c>
      <c r="D67" s="189" t="s">
        <v>32</v>
      </c>
      <c r="E67" s="189" t="b">
        <v>1</v>
      </c>
      <c r="F67" s="189" t="s">
        <v>12</v>
      </c>
      <c r="G67" s="189" t="s">
        <v>9</v>
      </c>
      <c r="H67" s="36" t="str">
        <f t="shared" si="0"/>
        <v>Wensum|Horticulture|TRUE|700to900|FreeDrain</v>
      </c>
      <c r="I67" s="133">
        <v>0.14239662707390396</v>
      </c>
      <c r="J67" s="133">
        <v>26.415249784413245</v>
      </c>
      <c r="K67" s="36" t="str">
        <f t="shared" si="1"/>
        <v>Horticulture|700to900</v>
      </c>
      <c r="L67" s="133">
        <f>AVERAGE(I67:I69)</f>
        <v>0.60500521048201605</v>
      </c>
      <c r="M67" s="133">
        <f>AVERAGE(J67:J69)</f>
        <v>20.844141811958369</v>
      </c>
      <c r="N67" s="50"/>
      <c r="O67" s="215"/>
      <c r="P67" s="138"/>
    </row>
    <row r="68" spans="2:16" x14ac:dyDescent="0.25">
      <c r="B68" s="137"/>
      <c r="C68" s="189" t="s">
        <v>217</v>
      </c>
      <c r="D68" s="189" t="s">
        <v>32</v>
      </c>
      <c r="E68" s="189" t="b">
        <v>0</v>
      </c>
      <c r="F68" s="189" t="s">
        <v>12</v>
      </c>
      <c r="G68" s="189" t="s">
        <v>10</v>
      </c>
      <c r="H68" s="36" t="str">
        <f t="shared" si="0"/>
        <v>Wensum|Horticulture|FALSE|700to900|DrainedAr</v>
      </c>
      <c r="I68" s="133">
        <v>0.70314001550724237</v>
      </c>
      <c r="J68" s="133">
        <v>19.092637414358691</v>
      </c>
      <c r="K68" s="36" t="str">
        <f t="shared" si="1"/>
        <v>Horticulture|700to900</v>
      </c>
      <c r="L68" s="133"/>
      <c r="M68" s="133"/>
      <c r="N68" s="50"/>
      <c r="O68" s="215"/>
      <c r="P68" s="138"/>
    </row>
    <row r="69" spans="2:16" x14ac:dyDescent="0.25">
      <c r="B69" s="137"/>
      <c r="C69" s="189" t="s">
        <v>217</v>
      </c>
      <c r="D69" s="189" t="s">
        <v>32</v>
      </c>
      <c r="E69" s="189" t="b">
        <v>0</v>
      </c>
      <c r="F69" s="189" t="s">
        <v>12</v>
      </c>
      <c r="G69" s="189" t="s">
        <v>11</v>
      </c>
      <c r="H69" s="36" t="str">
        <f t="shared" si="0"/>
        <v>Wensum|Horticulture|FALSE|700to900|DrainedArGr</v>
      </c>
      <c r="I69" s="133">
        <v>0.96947898886490191</v>
      </c>
      <c r="J69" s="133">
        <v>17.024538237103176</v>
      </c>
      <c r="K69" s="36" t="str">
        <f t="shared" si="1"/>
        <v>Horticulture|700to900</v>
      </c>
      <c r="L69" s="133"/>
      <c r="M69" s="133"/>
      <c r="N69" s="50"/>
      <c r="O69" s="215"/>
      <c r="P69" s="138"/>
    </row>
    <row r="70" spans="2:16" x14ac:dyDescent="0.25">
      <c r="B70" s="137"/>
      <c r="C70" s="189" t="s">
        <v>217</v>
      </c>
      <c r="D70" s="189" t="s">
        <v>42</v>
      </c>
      <c r="E70" s="189" t="b">
        <v>0</v>
      </c>
      <c r="F70" s="189" t="s">
        <v>8</v>
      </c>
      <c r="G70" s="189" t="s">
        <v>9</v>
      </c>
      <c r="H70" s="36" t="str">
        <f t="shared" si="0"/>
        <v>Wensum|Pig|FALSE|600to700|FreeDrain</v>
      </c>
      <c r="I70" s="133">
        <v>7.064427928326375E-2</v>
      </c>
      <c r="J70" s="133">
        <v>93.252993503644717</v>
      </c>
      <c r="K70" s="36" t="str">
        <f t="shared" si="1"/>
        <v>Pig|600to700</v>
      </c>
      <c r="L70" s="133">
        <f>AVERAGE(I70,I72,I74)</f>
        <v>0.34474432435106078</v>
      </c>
      <c r="M70" s="133">
        <f>AVERAGE(J70,J72,J74)</f>
        <v>70.428342096235156</v>
      </c>
      <c r="N70" s="50">
        <f>AVERAGE(I70:I79)</f>
        <v>0.51494476276401546</v>
      </c>
      <c r="O70" s="215">
        <f>AVERAGE(J70:J79)</f>
        <v>74.882350961034859</v>
      </c>
      <c r="P70" s="138"/>
    </row>
    <row r="71" spans="2:16" x14ac:dyDescent="0.25">
      <c r="B71" s="137"/>
      <c r="C71" s="189" t="s">
        <v>217</v>
      </c>
      <c r="D71" s="189" t="s">
        <v>42</v>
      </c>
      <c r="E71" s="189" t="b">
        <v>1</v>
      </c>
      <c r="F71" s="189" t="s">
        <v>8</v>
      </c>
      <c r="G71" s="189" t="s">
        <v>9</v>
      </c>
      <c r="H71" s="36" t="str">
        <f t="shared" si="0"/>
        <v>Wensum|Pig|TRUE|600to700|FreeDrain</v>
      </c>
      <c r="I71" s="133">
        <v>6.7911430378150575E-2</v>
      </c>
      <c r="J71" s="133">
        <v>93.567785662672904</v>
      </c>
      <c r="K71" s="36" t="str">
        <f t="shared" si="1"/>
        <v>Pig|600to700</v>
      </c>
      <c r="L71" s="133"/>
      <c r="M71" s="133"/>
      <c r="N71" s="50"/>
      <c r="O71" s="215"/>
      <c r="P71" s="138"/>
    </row>
    <row r="72" spans="2:16" x14ac:dyDescent="0.25">
      <c r="B72" s="137"/>
      <c r="C72" s="189" t="s">
        <v>217</v>
      </c>
      <c r="D72" s="189" t="s">
        <v>42</v>
      </c>
      <c r="E72" s="189" t="b">
        <v>0</v>
      </c>
      <c r="F72" s="189" t="s">
        <v>8</v>
      </c>
      <c r="G72" s="189" t="s">
        <v>10</v>
      </c>
      <c r="H72" s="36" t="str">
        <f t="shared" si="0"/>
        <v>Wensum|Pig|FALSE|600to700|DrainedAr</v>
      </c>
      <c r="I72" s="133">
        <v>0.38257707704246624</v>
      </c>
      <c r="J72" s="133">
        <v>61.687411404088877</v>
      </c>
      <c r="K72" s="36" t="str">
        <f t="shared" si="1"/>
        <v>Pig|600to700</v>
      </c>
      <c r="L72" s="133"/>
      <c r="M72" s="133"/>
      <c r="N72" s="50"/>
      <c r="O72" s="215"/>
      <c r="P72" s="138"/>
    </row>
    <row r="73" spans="2:16" x14ac:dyDescent="0.25">
      <c r="B73" s="137"/>
      <c r="C73" s="189" t="s">
        <v>217</v>
      </c>
      <c r="D73" s="189" t="s">
        <v>42</v>
      </c>
      <c r="E73" s="189" t="b">
        <v>1</v>
      </c>
      <c r="F73" s="189" t="s">
        <v>8</v>
      </c>
      <c r="G73" s="189" t="s">
        <v>10</v>
      </c>
      <c r="H73" s="36" t="str">
        <f t="shared" si="0"/>
        <v>Wensum|Pig|TRUE|600to700|DrainedAr</v>
      </c>
      <c r="I73" s="133">
        <v>0.35283520887129288</v>
      </c>
      <c r="J73" s="133">
        <v>59.537322841270544</v>
      </c>
      <c r="K73" s="36" t="str">
        <f t="shared" si="1"/>
        <v>Pig|600to700</v>
      </c>
      <c r="L73" s="133"/>
      <c r="M73" s="133"/>
      <c r="N73" s="50"/>
      <c r="O73" s="215"/>
      <c r="P73" s="138"/>
    </row>
    <row r="74" spans="2:16" x14ac:dyDescent="0.25">
      <c r="B74" s="137"/>
      <c r="C74" s="189" t="s">
        <v>217</v>
      </c>
      <c r="D74" s="189" t="s">
        <v>42</v>
      </c>
      <c r="E74" s="189" t="b">
        <v>1</v>
      </c>
      <c r="F74" s="189" t="s">
        <v>8</v>
      </c>
      <c r="G74" s="189" t="s">
        <v>11</v>
      </c>
      <c r="H74" s="36" t="str">
        <f t="shared" si="0"/>
        <v>Wensum|Pig|TRUE|600to700|DrainedArGr</v>
      </c>
      <c r="I74" s="133">
        <v>0.58101161672745227</v>
      </c>
      <c r="J74" s="133">
        <v>56.344621380971887</v>
      </c>
      <c r="K74" s="36" t="str">
        <f t="shared" si="1"/>
        <v>Pig|600to700</v>
      </c>
      <c r="L74" s="133"/>
      <c r="M74" s="133"/>
      <c r="N74" s="50"/>
      <c r="O74" s="215"/>
      <c r="P74" s="138"/>
    </row>
    <row r="75" spans="2:16" x14ac:dyDescent="0.25">
      <c r="B75" s="137"/>
      <c r="C75" s="189" t="s">
        <v>217</v>
      </c>
      <c r="D75" s="189" t="s">
        <v>42</v>
      </c>
      <c r="E75" s="189" t="b">
        <v>1</v>
      </c>
      <c r="F75" s="189" t="s">
        <v>12</v>
      </c>
      <c r="G75" s="189" t="s">
        <v>9</v>
      </c>
      <c r="H75" s="36" t="str">
        <f t="shared" si="0"/>
        <v>Wensum|Pig|TRUE|700to900|FreeDrain</v>
      </c>
      <c r="I75" s="133">
        <v>0.17227610260462156</v>
      </c>
      <c r="J75" s="133">
        <v>109.91088516598225</v>
      </c>
      <c r="K75" s="36" t="str">
        <f t="shared" si="1"/>
        <v>Pig|700to900</v>
      </c>
      <c r="L75" s="133">
        <f>AVERAGE(I75,I76,I78)</f>
        <v>0.65869599780397448</v>
      </c>
      <c r="M75" s="133">
        <f>AVERAGE(J75,J76,J78)</f>
        <v>83.556958524547028</v>
      </c>
      <c r="N75" s="50"/>
      <c r="O75" s="215"/>
      <c r="P75" s="138"/>
    </row>
    <row r="76" spans="2:16" x14ac:dyDescent="0.25">
      <c r="B76" s="137"/>
      <c r="C76" s="189" t="s">
        <v>217</v>
      </c>
      <c r="D76" s="189" t="s">
        <v>42</v>
      </c>
      <c r="E76" s="189" t="b">
        <v>0</v>
      </c>
      <c r="F76" s="189" t="s">
        <v>12</v>
      </c>
      <c r="G76" s="189" t="s">
        <v>10</v>
      </c>
      <c r="H76" s="36" t="str">
        <f t="shared" si="0"/>
        <v>Wensum|Pig|FALSE|700to900|DrainedAr</v>
      </c>
      <c r="I76" s="133">
        <v>0.7574147002080458</v>
      </c>
      <c r="J76" s="133">
        <v>75.972091196812642</v>
      </c>
      <c r="K76" s="36" t="str">
        <f t="shared" si="1"/>
        <v>Pig|700to900</v>
      </c>
      <c r="L76" s="133"/>
      <c r="M76" s="133"/>
      <c r="N76" s="50"/>
      <c r="O76" s="215"/>
      <c r="P76" s="138"/>
    </row>
    <row r="77" spans="2:16" x14ac:dyDescent="0.25">
      <c r="B77" s="137"/>
      <c r="C77" s="189" t="s">
        <v>217</v>
      </c>
      <c r="D77" s="189" t="s">
        <v>42</v>
      </c>
      <c r="E77" s="189" t="b">
        <v>1</v>
      </c>
      <c r="F77" s="189" t="s">
        <v>12</v>
      </c>
      <c r="G77" s="189" t="s">
        <v>10</v>
      </c>
      <c r="H77" s="36" t="str">
        <f t="shared" si="0"/>
        <v>Wensum|Pig|TRUE|700to900|DrainedAr</v>
      </c>
      <c r="I77" s="133">
        <v>0.72215345197058201</v>
      </c>
      <c r="J77" s="133">
        <v>73.202596502508086</v>
      </c>
      <c r="K77" s="36" t="str">
        <f t="shared" si="1"/>
        <v>Pig|700to900</v>
      </c>
      <c r="L77" s="133"/>
      <c r="M77" s="133"/>
      <c r="N77" s="50"/>
      <c r="O77" s="215"/>
      <c r="P77" s="138"/>
    </row>
    <row r="78" spans="2:16" x14ac:dyDescent="0.25">
      <c r="B78" s="137"/>
      <c r="C78" s="189" t="s">
        <v>217</v>
      </c>
      <c r="D78" s="189" t="s">
        <v>42</v>
      </c>
      <c r="E78" s="189" t="b">
        <v>0</v>
      </c>
      <c r="F78" s="189" t="s">
        <v>12</v>
      </c>
      <c r="G78" s="189" t="s">
        <v>11</v>
      </c>
      <c r="H78" s="36" t="str">
        <f t="shared" si="0"/>
        <v>Wensum|Pig|FALSE|700to900|DrainedArGr</v>
      </c>
      <c r="I78" s="133">
        <v>1.046397190599256</v>
      </c>
      <c r="J78" s="133">
        <v>64.787899210846192</v>
      </c>
      <c r="K78" s="36" t="str">
        <f t="shared" si="1"/>
        <v>Pig|700to900</v>
      </c>
      <c r="L78" s="133"/>
      <c r="M78" s="133"/>
      <c r="N78" s="50"/>
      <c r="O78" s="215"/>
      <c r="P78" s="138"/>
    </row>
    <row r="79" spans="2:16" x14ac:dyDescent="0.25">
      <c r="B79" s="137"/>
      <c r="C79" s="189" t="s">
        <v>217</v>
      </c>
      <c r="D79" s="189" t="s">
        <v>42</v>
      </c>
      <c r="E79" s="189" t="b">
        <v>1</v>
      </c>
      <c r="F79" s="189" t="s">
        <v>12</v>
      </c>
      <c r="G79" s="189" t="s">
        <v>11</v>
      </c>
      <c r="H79" s="36" t="str">
        <f t="shared" si="0"/>
        <v>Wensum|Pig|TRUE|700to900|DrainedArGr</v>
      </c>
      <c r="I79" s="133">
        <v>0.99622656995502401</v>
      </c>
      <c r="J79" s="133">
        <v>60.559902741550609</v>
      </c>
      <c r="K79" s="36" t="str">
        <f t="shared" si="1"/>
        <v>Pig|700to900</v>
      </c>
      <c r="L79" s="133"/>
      <c r="M79" s="133"/>
      <c r="N79" s="50"/>
      <c r="O79" s="215"/>
      <c r="P79" s="138"/>
    </row>
    <row r="80" spans="2:16" x14ac:dyDescent="0.25">
      <c r="B80" s="137"/>
      <c r="C80" s="189" t="s">
        <v>217</v>
      </c>
      <c r="D80" s="189" t="s">
        <v>47</v>
      </c>
      <c r="E80" s="189" t="b">
        <v>0</v>
      </c>
      <c r="F80" s="189" t="s">
        <v>8</v>
      </c>
      <c r="G80" s="189" t="s">
        <v>9</v>
      </c>
      <c r="H80" s="36" t="str">
        <f t="shared" si="0"/>
        <v>Wensum|Poultry|FALSE|600to700|FreeDrain</v>
      </c>
      <c r="I80" s="133">
        <v>0.12216169176557388</v>
      </c>
      <c r="J80" s="133">
        <v>231.58109057287646</v>
      </c>
      <c r="K80" s="36" t="str">
        <f t="shared" si="1"/>
        <v>Poultry|600to700</v>
      </c>
      <c r="L80" s="133">
        <f>AVERAGE(I80,I81,I83)</f>
        <v>0.39471348034497983</v>
      </c>
      <c r="M80" s="133">
        <f>AVERAGE(J80,J81,J83)</f>
        <v>174.00452437906566</v>
      </c>
      <c r="N80" s="50">
        <f>AVERAGE(I80:I88)</f>
        <v>0.60629666723627951</v>
      </c>
      <c r="O80" s="215">
        <f>AVERAGE(J80:J88)</f>
        <v>177.47381463227265</v>
      </c>
      <c r="P80" s="138"/>
    </row>
    <row r="81" spans="2:16" x14ac:dyDescent="0.25">
      <c r="B81" s="137"/>
      <c r="C81" s="189" t="s">
        <v>217</v>
      </c>
      <c r="D81" s="189" t="s">
        <v>47</v>
      </c>
      <c r="E81" s="189" t="b">
        <v>0</v>
      </c>
      <c r="F81" s="189" t="s">
        <v>8</v>
      </c>
      <c r="G81" s="189" t="s">
        <v>10</v>
      </c>
      <c r="H81" s="36" t="str">
        <f t="shared" si="0"/>
        <v>Wensum|Poultry|FALSE|600to700|DrainedAr</v>
      </c>
      <c r="I81" s="133">
        <v>0.37880577019208006</v>
      </c>
      <c r="J81" s="133">
        <v>149.95891198181062</v>
      </c>
      <c r="K81" s="36" t="str">
        <f t="shared" si="1"/>
        <v>Poultry|600to700</v>
      </c>
      <c r="L81" s="133"/>
      <c r="M81" s="133"/>
      <c r="N81" s="50"/>
      <c r="O81" s="215"/>
      <c r="P81" s="138"/>
    </row>
    <row r="82" spans="2:16" x14ac:dyDescent="0.25">
      <c r="B82" s="137"/>
      <c r="C82" s="189" t="s">
        <v>217</v>
      </c>
      <c r="D82" s="189" t="s">
        <v>47</v>
      </c>
      <c r="E82" s="189" t="b">
        <v>1</v>
      </c>
      <c r="F82" s="189" t="s">
        <v>8</v>
      </c>
      <c r="G82" s="189" t="s">
        <v>10</v>
      </c>
      <c r="H82" s="36" t="str">
        <f t="shared" si="0"/>
        <v>Wensum|Poultry|TRUE|600to700|DrainedAr</v>
      </c>
      <c r="I82" s="133">
        <v>0.34929168840441499</v>
      </c>
      <c r="J82" s="133">
        <v>144.04394718804886</v>
      </c>
      <c r="K82" s="36" t="str">
        <f t="shared" si="1"/>
        <v>Poultry|600to700</v>
      </c>
      <c r="L82" s="133"/>
      <c r="M82" s="133"/>
      <c r="N82" s="50"/>
      <c r="O82" s="215"/>
      <c r="P82" s="138"/>
    </row>
    <row r="83" spans="2:16" x14ac:dyDescent="0.25">
      <c r="B83" s="137"/>
      <c r="C83" s="189" t="s">
        <v>217</v>
      </c>
      <c r="D83" s="189" t="s">
        <v>47</v>
      </c>
      <c r="E83" s="189" t="b">
        <v>0</v>
      </c>
      <c r="F83" s="189" t="s">
        <v>8</v>
      </c>
      <c r="G83" s="189" t="s">
        <v>11</v>
      </c>
      <c r="H83" s="36" t="str">
        <f t="shared" si="0"/>
        <v>Wensum|Poultry|FALSE|600to700|DrainedArGr</v>
      </c>
      <c r="I83" s="133">
        <v>0.68317297907728547</v>
      </c>
      <c r="J83" s="133">
        <v>140.47357058250989</v>
      </c>
      <c r="K83" s="36" t="str">
        <f t="shared" si="1"/>
        <v>Poultry|600to700</v>
      </c>
      <c r="L83" s="133"/>
      <c r="M83" s="133"/>
      <c r="N83" s="50"/>
      <c r="O83" s="215"/>
      <c r="P83" s="138"/>
    </row>
    <row r="84" spans="2:16" x14ac:dyDescent="0.25">
      <c r="B84" s="137"/>
      <c r="C84" s="189" t="s">
        <v>217</v>
      </c>
      <c r="D84" s="189" t="s">
        <v>47</v>
      </c>
      <c r="E84" s="189" t="b">
        <v>1</v>
      </c>
      <c r="F84" s="189" t="s">
        <v>12</v>
      </c>
      <c r="G84" s="189" t="s">
        <v>9</v>
      </c>
      <c r="H84" s="36" t="str">
        <f t="shared" si="0"/>
        <v>Wensum|Poultry|TRUE|700to900|FreeDrain</v>
      </c>
      <c r="I84" s="133">
        <v>0.25721384406977738</v>
      </c>
      <c r="J84" s="133">
        <v>273.56640090093578</v>
      </c>
      <c r="K84" s="36" t="str">
        <f t="shared" si="1"/>
        <v>Poultry|700to900</v>
      </c>
      <c r="L84" s="133">
        <f>AVERAGE(I84,I85,I87)</f>
        <v>0.71367746701721391</v>
      </c>
      <c r="M84" s="133">
        <f>AVERAGE(J84,J85,J87)</f>
        <v>203.96654916059529</v>
      </c>
      <c r="N84" s="50"/>
      <c r="O84" s="215"/>
      <c r="P84" s="138"/>
    </row>
    <row r="85" spans="2:16" x14ac:dyDescent="0.25">
      <c r="B85" s="137"/>
      <c r="C85" s="189" t="s">
        <v>217</v>
      </c>
      <c r="D85" s="189" t="s">
        <v>47</v>
      </c>
      <c r="E85" s="189" t="b">
        <v>0</v>
      </c>
      <c r="F85" s="189" t="s">
        <v>12</v>
      </c>
      <c r="G85" s="189" t="s">
        <v>10</v>
      </c>
      <c r="H85" s="36" t="str">
        <f t="shared" si="0"/>
        <v>Wensum|Poultry|FALSE|700to900|DrainedAr</v>
      </c>
      <c r="I85" s="133">
        <v>0.74490325030985227</v>
      </c>
      <c r="J85" s="133">
        <v>185.51820594069079</v>
      </c>
      <c r="K85" s="36" t="str">
        <f t="shared" si="1"/>
        <v>Poultry|700to900</v>
      </c>
      <c r="L85" s="133"/>
      <c r="M85" s="133"/>
      <c r="N85" s="50"/>
      <c r="O85" s="215"/>
      <c r="P85" s="138"/>
    </row>
    <row r="86" spans="2:16" x14ac:dyDescent="0.25">
      <c r="B86" s="137"/>
      <c r="C86" s="189" t="s">
        <v>217</v>
      </c>
      <c r="D86" s="189" t="s">
        <v>47</v>
      </c>
      <c r="E86" s="189" t="b">
        <v>1</v>
      </c>
      <c r="F86" s="189" t="s">
        <v>12</v>
      </c>
      <c r="G86" s="189" t="s">
        <v>10</v>
      </c>
      <c r="H86" s="36" t="str">
        <f t="shared" si="0"/>
        <v>Wensum|Poultry|TRUE|700to900|DrainedAr</v>
      </c>
      <c r="I86" s="133">
        <v>0.70182658275333065</v>
      </c>
      <c r="J86" s="133">
        <v>177.91768232694116</v>
      </c>
      <c r="K86" s="36" t="str">
        <f t="shared" si="1"/>
        <v>Poultry|700to900</v>
      </c>
      <c r="L86" s="133"/>
      <c r="M86" s="133"/>
      <c r="N86" s="50"/>
      <c r="O86" s="215"/>
      <c r="P86" s="138"/>
    </row>
    <row r="87" spans="2:16" x14ac:dyDescent="0.25">
      <c r="B87" s="137"/>
      <c r="C87" s="189" t="s">
        <v>217</v>
      </c>
      <c r="D87" s="189" t="s">
        <v>47</v>
      </c>
      <c r="E87" s="189" t="b">
        <v>0</v>
      </c>
      <c r="F87" s="189" t="s">
        <v>12</v>
      </c>
      <c r="G87" s="189" t="s">
        <v>11</v>
      </c>
      <c r="H87" s="36" t="str">
        <f t="shared" si="0"/>
        <v>Wensum|Poultry|FALSE|700to900|DrainedArGr</v>
      </c>
      <c r="I87" s="133">
        <v>1.1389153066720124</v>
      </c>
      <c r="J87" s="133">
        <v>152.81504064015928</v>
      </c>
      <c r="K87" s="36" t="str">
        <f t="shared" si="1"/>
        <v>Poultry|700to900</v>
      </c>
      <c r="L87" s="133"/>
      <c r="M87" s="133"/>
      <c r="N87" s="50"/>
      <c r="O87" s="215"/>
      <c r="P87" s="138"/>
    </row>
    <row r="88" spans="2:16" x14ac:dyDescent="0.25">
      <c r="B88" s="137"/>
      <c r="C88" s="189" t="s">
        <v>217</v>
      </c>
      <c r="D88" s="189" t="s">
        <v>47</v>
      </c>
      <c r="E88" s="189" t="b">
        <v>1</v>
      </c>
      <c r="F88" s="189" t="s">
        <v>12</v>
      </c>
      <c r="G88" s="189" t="s">
        <v>11</v>
      </c>
      <c r="H88" s="36" t="str">
        <f t="shared" si="0"/>
        <v>Wensum|Poultry|TRUE|700to900|DrainedArGr</v>
      </c>
      <c r="I88" s="133">
        <v>1.0803788918821891</v>
      </c>
      <c r="J88" s="133">
        <v>141.38948155648106</v>
      </c>
      <c r="K88" s="36" t="str">
        <f t="shared" si="1"/>
        <v>Poultry|700to900</v>
      </c>
      <c r="L88" s="133"/>
      <c r="M88" s="133"/>
      <c r="N88" s="50"/>
      <c r="O88" s="215"/>
      <c r="P88" s="138"/>
    </row>
    <row r="89" spans="2:16" x14ac:dyDescent="0.25">
      <c r="B89" s="137"/>
      <c r="C89" s="189" t="s">
        <v>217</v>
      </c>
      <c r="D89" s="189" t="s">
        <v>55</v>
      </c>
      <c r="E89" s="189" t="b">
        <v>0</v>
      </c>
      <c r="F89" s="189" t="s">
        <v>8</v>
      </c>
      <c r="G89" s="189" t="s">
        <v>10</v>
      </c>
      <c r="H89" s="36" t="str">
        <f t="shared" si="0"/>
        <v>Wensum|Dairy|FALSE|600to700|DrainedAr</v>
      </c>
      <c r="I89" s="133">
        <v>0.19485536777010148</v>
      </c>
      <c r="J89" s="133">
        <v>12.151865571569491</v>
      </c>
      <c r="K89" s="36" t="str">
        <f t="shared" si="1"/>
        <v>Dairy|600to700</v>
      </c>
      <c r="L89" s="133">
        <f>AVERAGE(I89,I91,I176)</f>
        <v>0.28166657093719943</v>
      </c>
      <c r="M89" s="133">
        <f>AVERAGE(J89,J91,J176)</f>
        <v>19.773858024072116</v>
      </c>
      <c r="N89" s="50">
        <f>AVERAGE(I89:I96)</f>
        <v>0.48611614352007237</v>
      </c>
      <c r="O89" s="215">
        <f>AVERAGE(J89:J96)</f>
        <v>13.403024314630656</v>
      </c>
      <c r="P89" s="138"/>
    </row>
    <row r="90" spans="2:16" x14ac:dyDescent="0.25">
      <c r="B90" s="137"/>
      <c r="C90" s="189" t="s">
        <v>217</v>
      </c>
      <c r="D90" s="189" t="s">
        <v>55</v>
      </c>
      <c r="E90" s="189" t="b">
        <v>1</v>
      </c>
      <c r="F90" s="189" t="s">
        <v>8</v>
      </c>
      <c r="G90" s="189" t="s">
        <v>10</v>
      </c>
      <c r="H90" s="36" t="str">
        <f t="shared" si="0"/>
        <v>Wensum|Dairy|TRUE|600to700|DrainedAr</v>
      </c>
      <c r="I90" s="133">
        <v>0.19406521416291797</v>
      </c>
      <c r="J90" s="133">
        <v>12.051446244873375</v>
      </c>
      <c r="K90" s="36" t="str">
        <f t="shared" si="1"/>
        <v>Dairy|600to700</v>
      </c>
      <c r="L90" s="133"/>
      <c r="M90" s="133"/>
      <c r="N90" s="50"/>
      <c r="O90" s="215"/>
      <c r="P90" s="138"/>
    </row>
    <row r="91" spans="2:16" x14ac:dyDescent="0.25">
      <c r="B91" s="137"/>
      <c r="C91" s="189" t="s">
        <v>217</v>
      </c>
      <c r="D91" s="189" t="s">
        <v>55</v>
      </c>
      <c r="E91" s="189" t="b">
        <v>0</v>
      </c>
      <c r="F91" s="189" t="s">
        <v>8</v>
      </c>
      <c r="G91" s="189" t="s">
        <v>11</v>
      </c>
      <c r="H91" s="36" t="str">
        <f t="shared" si="0"/>
        <v>Wensum|Dairy|FALSE|600to700|DrainedArGr</v>
      </c>
      <c r="I91" s="133">
        <v>0.51037243155106782</v>
      </c>
      <c r="J91" s="133">
        <v>11.29922082089538</v>
      </c>
      <c r="K91" s="36" t="str">
        <f t="shared" si="1"/>
        <v>Dairy|600to700</v>
      </c>
      <c r="L91" s="133"/>
      <c r="M91" s="133"/>
      <c r="N91" s="50"/>
      <c r="O91" s="215"/>
      <c r="P91" s="138"/>
    </row>
    <row r="92" spans="2:16" x14ac:dyDescent="0.25">
      <c r="B92" s="137"/>
      <c r="C92" s="189" t="s">
        <v>217</v>
      </c>
      <c r="D92" s="189" t="s">
        <v>55</v>
      </c>
      <c r="E92" s="189" t="b">
        <v>1</v>
      </c>
      <c r="F92" s="189" t="s">
        <v>8</v>
      </c>
      <c r="G92" s="189" t="s">
        <v>11</v>
      </c>
      <c r="H92" s="36" t="str">
        <f t="shared" si="0"/>
        <v>Wensum|Dairy|TRUE|600to700|DrainedArGr</v>
      </c>
      <c r="I92" s="133">
        <v>0.50230162416829671</v>
      </c>
      <c r="J92" s="133">
        <v>11.169674687880343</v>
      </c>
      <c r="K92" s="36" t="str">
        <f t="shared" si="1"/>
        <v>Dairy|600to700</v>
      </c>
      <c r="L92" s="133"/>
      <c r="M92" s="133"/>
      <c r="N92" s="50"/>
      <c r="O92" s="215"/>
      <c r="P92" s="138"/>
    </row>
    <row r="93" spans="2:16" x14ac:dyDescent="0.25">
      <c r="B93" s="137"/>
      <c r="C93" s="189" t="s">
        <v>217</v>
      </c>
      <c r="D93" s="189" t="s">
        <v>55</v>
      </c>
      <c r="E93" s="189" t="b">
        <v>0</v>
      </c>
      <c r="F93" s="189" t="s">
        <v>12</v>
      </c>
      <c r="G93" s="189" t="s">
        <v>10</v>
      </c>
      <c r="H93" s="36" t="str">
        <f t="shared" si="0"/>
        <v>Wensum|Dairy|FALSE|700to900|DrainedAr</v>
      </c>
      <c r="I93" s="133">
        <v>0.40890224426859828</v>
      </c>
      <c r="J93" s="133">
        <v>17.317172600361545</v>
      </c>
      <c r="K93" s="36" t="str">
        <f t="shared" si="1"/>
        <v>Dairy|700to900</v>
      </c>
      <c r="L93" s="133">
        <f>AVERAGE(I93,I95)</f>
        <v>0.62448905899360507</v>
      </c>
      <c r="M93" s="133">
        <f>AVERAGE(J93,J95)</f>
        <v>15.21160099186616</v>
      </c>
      <c r="N93" s="50"/>
      <c r="O93" s="215"/>
      <c r="P93" s="138"/>
    </row>
    <row r="94" spans="2:16" x14ac:dyDescent="0.25">
      <c r="B94" s="137"/>
      <c r="C94" s="189" t="s">
        <v>217</v>
      </c>
      <c r="D94" s="189" t="s">
        <v>55</v>
      </c>
      <c r="E94" s="189" t="b">
        <v>1</v>
      </c>
      <c r="F94" s="189" t="s">
        <v>12</v>
      </c>
      <c r="G94" s="189" t="s">
        <v>10</v>
      </c>
      <c r="H94" s="36" t="str">
        <f t="shared" si="0"/>
        <v>Wensum|Dairy|TRUE|700to900|DrainedAr</v>
      </c>
      <c r="I94" s="133">
        <v>0.40794352232133491</v>
      </c>
      <c r="J94" s="133">
        <v>17.172880289019968</v>
      </c>
      <c r="K94" s="36" t="str">
        <f t="shared" si="1"/>
        <v>Dairy|700to900</v>
      </c>
      <c r="L94" s="133"/>
      <c r="M94" s="133"/>
      <c r="N94" s="50"/>
      <c r="O94" s="215"/>
      <c r="P94" s="138"/>
    </row>
    <row r="95" spans="2:16" x14ac:dyDescent="0.25">
      <c r="B95" s="137"/>
      <c r="C95" s="189" t="s">
        <v>217</v>
      </c>
      <c r="D95" s="189" t="s">
        <v>55</v>
      </c>
      <c r="E95" s="189" t="b">
        <v>0</v>
      </c>
      <c r="F95" s="189" t="s">
        <v>12</v>
      </c>
      <c r="G95" s="189" t="s">
        <v>11</v>
      </c>
      <c r="H95" s="36" t="str">
        <f t="shared" si="0"/>
        <v>Wensum|Dairy|FALSE|700to900|DrainedArGr</v>
      </c>
      <c r="I95" s="133">
        <v>0.84007587371861181</v>
      </c>
      <c r="J95" s="133">
        <v>13.106029383370775</v>
      </c>
      <c r="K95" s="36" t="str">
        <f t="shared" si="1"/>
        <v>Dairy|700to900</v>
      </c>
      <c r="L95" s="133"/>
      <c r="M95" s="133"/>
      <c r="N95" s="50"/>
      <c r="O95" s="215"/>
      <c r="P95" s="138"/>
    </row>
    <row r="96" spans="2:16" x14ac:dyDescent="0.25">
      <c r="B96" s="137"/>
      <c r="C96" s="189" t="s">
        <v>217</v>
      </c>
      <c r="D96" s="189" t="s">
        <v>55</v>
      </c>
      <c r="E96" s="189" t="b">
        <v>1</v>
      </c>
      <c r="F96" s="189" t="s">
        <v>12</v>
      </c>
      <c r="G96" s="189" t="s">
        <v>11</v>
      </c>
      <c r="H96" s="36" t="str">
        <f t="shared" si="0"/>
        <v>Wensum|Dairy|TRUE|700to900|DrainedArGr</v>
      </c>
      <c r="I96" s="133">
        <v>0.83041287019965004</v>
      </c>
      <c r="J96" s="133">
        <v>12.955904919074355</v>
      </c>
      <c r="K96" s="36" t="str">
        <f t="shared" si="1"/>
        <v>Dairy|700to900</v>
      </c>
      <c r="L96" s="133"/>
      <c r="M96" s="133"/>
      <c r="N96" s="50"/>
      <c r="O96" s="215"/>
      <c r="P96" s="138"/>
    </row>
    <row r="97" spans="2:16" x14ac:dyDescent="0.25">
      <c r="B97" s="137"/>
      <c r="C97" s="189" t="s">
        <v>217</v>
      </c>
      <c r="D97" s="189" t="s">
        <v>58</v>
      </c>
      <c r="E97" s="189" t="b">
        <v>0</v>
      </c>
      <c r="F97" s="189" t="s">
        <v>8</v>
      </c>
      <c r="G97" s="189" t="s">
        <v>9</v>
      </c>
      <c r="H97" s="36" t="str">
        <f t="shared" si="0"/>
        <v>Wensum|Lowland|FALSE|600to700|FreeDrain</v>
      </c>
      <c r="I97" s="133">
        <v>6.0672200009934799E-2</v>
      </c>
      <c r="J97" s="133">
        <v>13.020647179581212</v>
      </c>
      <c r="K97" s="36" t="str">
        <f t="shared" si="1"/>
        <v>Lowland|600to700</v>
      </c>
      <c r="L97" s="133">
        <f>AVERAGE(I97,I99,I101)</f>
        <v>0.20051787465688975</v>
      </c>
      <c r="M97" s="133">
        <f>AVERAGE(J97,J99,J101)</f>
        <v>9.9729742110916568</v>
      </c>
      <c r="N97" s="50">
        <f>AVERAGE(I97:I106)</f>
        <v>0.26871595703143009</v>
      </c>
      <c r="O97" s="215">
        <f>AVERAGE(J97:J106)</f>
        <v>11.596726037154975</v>
      </c>
      <c r="P97" s="138"/>
    </row>
    <row r="98" spans="2:16" x14ac:dyDescent="0.25">
      <c r="B98" s="137"/>
      <c r="C98" s="189" t="s">
        <v>217</v>
      </c>
      <c r="D98" s="189" t="s">
        <v>58</v>
      </c>
      <c r="E98" s="189" t="b">
        <v>1</v>
      </c>
      <c r="F98" s="189" t="s">
        <v>8</v>
      </c>
      <c r="G98" s="189" t="s">
        <v>9</v>
      </c>
      <c r="H98" s="36" t="str">
        <f t="shared" si="0"/>
        <v>Wensum|Lowland|TRUE|600to700|FreeDrain</v>
      </c>
      <c r="I98" s="133">
        <v>6.0672075362998137E-2</v>
      </c>
      <c r="J98" s="133">
        <v>12.935297467149205</v>
      </c>
      <c r="K98" s="36" t="str">
        <f t="shared" si="1"/>
        <v>Lowland|600to700</v>
      </c>
      <c r="L98" s="133"/>
      <c r="M98" s="133"/>
      <c r="N98" s="50"/>
      <c r="O98" s="215"/>
      <c r="P98" s="138"/>
    </row>
    <row r="99" spans="2:16" x14ac:dyDescent="0.25">
      <c r="B99" s="137"/>
      <c r="C99" s="189" t="s">
        <v>217</v>
      </c>
      <c r="D99" s="189" t="s">
        <v>58</v>
      </c>
      <c r="E99" s="189" t="b">
        <v>0</v>
      </c>
      <c r="F99" s="189" t="s">
        <v>8</v>
      </c>
      <c r="G99" s="189" t="s">
        <v>10</v>
      </c>
      <c r="H99" s="36" t="str">
        <f t="shared" si="0"/>
        <v>Wensum|Lowland|FALSE|600to700|DrainedAr</v>
      </c>
      <c r="I99" s="133">
        <v>0.11462589030212797</v>
      </c>
      <c r="J99" s="133">
        <v>8.9298182028088924</v>
      </c>
      <c r="K99" s="36" t="str">
        <f t="shared" si="1"/>
        <v>Lowland|600to700</v>
      </c>
      <c r="L99" s="133"/>
      <c r="M99" s="133"/>
      <c r="N99" s="50"/>
      <c r="O99" s="215"/>
      <c r="P99" s="138"/>
    </row>
    <row r="100" spans="2:16" x14ac:dyDescent="0.25">
      <c r="B100" s="137"/>
      <c r="C100" s="189" t="s">
        <v>217</v>
      </c>
      <c r="D100" s="189" t="s">
        <v>58</v>
      </c>
      <c r="E100" s="189" t="b">
        <v>1</v>
      </c>
      <c r="F100" s="189" t="s">
        <v>8</v>
      </c>
      <c r="G100" s="189" t="s">
        <v>10</v>
      </c>
      <c r="H100" s="36" t="str">
        <f t="shared" si="0"/>
        <v>Wensum|Lowland|TRUE|600to700|DrainedAr</v>
      </c>
      <c r="I100" s="133">
        <v>0.11462570230665367</v>
      </c>
      <c r="J100" s="133">
        <v>8.8746237247586475</v>
      </c>
      <c r="K100" s="36" t="str">
        <f t="shared" si="1"/>
        <v>Lowland|600to700</v>
      </c>
      <c r="L100" s="133"/>
      <c r="M100" s="133"/>
      <c r="N100" s="50"/>
      <c r="O100" s="215"/>
      <c r="P100" s="138"/>
    </row>
    <row r="101" spans="2:16" x14ac:dyDescent="0.25">
      <c r="B101" s="137"/>
      <c r="C101" s="189" t="s">
        <v>217</v>
      </c>
      <c r="D101" s="189" t="s">
        <v>58</v>
      </c>
      <c r="E101" s="189" t="b">
        <v>1</v>
      </c>
      <c r="F101" s="189" t="s">
        <v>8</v>
      </c>
      <c r="G101" s="189" t="s">
        <v>11</v>
      </c>
      <c r="H101" s="36" t="str">
        <f t="shared" si="0"/>
        <v>Wensum|Lowland|TRUE|600to700|DrainedArGr</v>
      </c>
      <c r="I101" s="133">
        <v>0.42625553365860647</v>
      </c>
      <c r="J101" s="133">
        <v>7.968457250884863</v>
      </c>
      <c r="K101" s="36" t="str">
        <f t="shared" si="1"/>
        <v>Lowland|600to700</v>
      </c>
      <c r="L101" s="133"/>
      <c r="M101" s="133"/>
      <c r="N101" s="50"/>
      <c r="O101" s="215"/>
      <c r="P101" s="138"/>
    </row>
    <row r="102" spans="2:16" x14ac:dyDescent="0.25">
      <c r="B102" s="137"/>
      <c r="C102" s="189" t="s">
        <v>217</v>
      </c>
      <c r="D102" s="189" t="s">
        <v>58</v>
      </c>
      <c r="E102" s="189" t="b">
        <v>1</v>
      </c>
      <c r="F102" s="189" t="s">
        <v>12</v>
      </c>
      <c r="G102" s="189" t="s">
        <v>9</v>
      </c>
      <c r="H102" s="36" t="str">
        <f t="shared" si="0"/>
        <v>Wensum|Lowland|TRUE|700to900|FreeDrain</v>
      </c>
      <c r="I102" s="133">
        <v>0.1095616587190448</v>
      </c>
      <c r="J102" s="133">
        <v>17.553094532003133</v>
      </c>
      <c r="K102" s="36" t="str">
        <f t="shared" si="1"/>
        <v>Lowland|700to900</v>
      </c>
      <c r="L102" s="133">
        <f>AVERAGE(I102:I103,I105)</f>
        <v>0.33664934738461127</v>
      </c>
      <c r="M102" s="133">
        <f>AVERAGE(J102:J103,J105)</f>
        <v>13.650045440217257</v>
      </c>
      <c r="N102" s="50"/>
      <c r="O102" s="215"/>
      <c r="P102" s="138"/>
    </row>
    <row r="103" spans="2:16" x14ac:dyDescent="0.25">
      <c r="B103" s="137"/>
      <c r="C103" s="189" t="s">
        <v>217</v>
      </c>
      <c r="D103" s="189" t="s">
        <v>58</v>
      </c>
      <c r="E103" s="189" t="b">
        <v>0</v>
      </c>
      <c r="F103" s="189" t="s">
        <v>12</v>
      </c>
      <c r="G103" s="189" t="s">
        <v>10</v>
      </c>
      <c r="H103" s="36" t="str">
        <f t="shared" si="0"/>
        <v>Wensum|Lowland|FALSE|700to900|DrainedAr</v>
      </c>
      <c r="I103" s="133">
        <v>0.21660279988560888</v>
      </c>
      <c r="J103" s="133">
        <v>13.750138144937067</v>
      </c>
      <c r="K103" s="36" t="str">
        <f t="shared" si="1"/>
        <v>Lowland|700to900</v>
      </c>
      <c r="M103" s="217"/>
      <c r="N103" s="133"/>
      <c r="O103" s="215"/>
      <c r="P103" s="138"/>
    </row>
    <row r="104" spans="2:16" x14ac:dyDescent="0.25">
      <c r="B104" s="137"/>
      <c r="C104" s="189" t="s">
        <v>217</v>
      </c>
      <c r="D104" s="189" t="s">
        <v>58</v>
      </c>
      <c r="E104" s="189" t="b">
        <v>1</v>
      </c>
      <c r="F104" s="189" t="s">
        <v>12</v>
      </c>
      <c r="G104" s="189" t="s">
        <v>10</v>
      </c>
      <c r="H104" s="36" t="str">
        <f t="shared" si="0"/>
        <v>Wensum|Lowland|TRUE|700to900|DrainedAr</v>
      </c>
      <c r="I104" s="133">
        <v>0.21660255365244568</v>
      </c>
      <c r="J104" s="133">
        <v>13.664701251388232</v>
      </c>
      <c r="K104" s="36" t="str">
        <f t="shared" si="1"/>
        <v>Lowland|700to900</v>
      </c>
      <c r="L104" s="133"/>
      <c r="M104" s="133"/>
      <c r="N104" s="50"/>
      <c r="O104" s="215"/>
      <c r="P104" s="138"/>
    </row>
    <row r="105" spans="2:16" x14ac:dyDescent="0.25">
      <c r="B105" s="137"/>
      <c r="C105" s="189" t="s">
        <v>217</v>
      </c>
      <c r="D105" s="189" t="s">
        <v>58</v>
      </c>
      <c r="E105" s="189" t="b">
        <v>0</v>
      </c>
      <c r="F105" s="189" t="s">
        <v>12</v>
      </c>
      <c r="G105" s="189" t="s">
        <v>11</v>
      </c>
      <c r="H105" s="36" t="str">
        <f t="shared" si="0"/>
        <v>Wensum|Lowland|FALSE|700to900|DrainedArGr</v>
      </c>
      <c r="I105" s="133">
        <v>0.68378358354918023</v>
      </c>
      <c r="J105" s="133">
        <v>9.6469036437115747</v>
      </c>
      <c r="K105" s="36" t="str">
        <f t="shared" si="1"/>
        <v>Lowland|700to900</v>
      </c>
      <c r="L105" s="133"/>
      <c r="M105" s="133"/>
      <c r="N105" s="50"/>
      <c r="O105" s="215"/>
      <c r="P105" s="138"/>
    </row>
    <row r="106" spans="2:16" x14ac:dyDescent="0.25">
      <c r="B106" s="137"/>
      <c r="C106" s="189" t="s">
        <v>217</v>
      </c>
      <c r="D106" s="189" t="s">
        <v>58</v>
      </c>
      <c r="E106" s="189" t="b">
        <v>1</v>
      </c>
      <c r="F106" s="189" t="s">
        <v>12</v>
      </c>
      <c r="G106" s="189" t="s">
        <v>11</v>
      </c>
      <c r="H106" s="36" t="str">
        <f t="shared" ref="H106:H116" si="2">C106&amp;"|"&amp;D106&amp;"|"&amp;E106&amp;"|"&amp;F106&amp;"|"&amp;G106</f>
        <v>Wensum|Lowland|TRUE|700to900|DrainedArGr</v>
      </c>
      <c r="I106" s="133">
        <v>0.68375757286770056</v>
      </c>
      <c r="J106" s="133">
        <v>9.6235789743269002</v>
      </c>
      <c r="K106" s="36" t="str">
        <f t="shared" ref="K106:K169" si="3">D106&amp;"|"&amp;F106</f>
        <v>Lowland|700to900</v>
      </c>
      <c r="L106" s="133"/>
      <c r="M106" s="133"/>
      <c r="N106" s="50"/>
      <c r="O106" s="215"/>
      <c r="P106" s="138"/>
    </row>
    <row r="107" spans="2:16" x14ac:dyDescent="0.25">
      <c r="B107" s="137"/>
      <c r="C107" s="189" t="s">
        <v>217</v>
      </c>
      <c r="D107" s="189" t="s">
        <v>59</v>
      </c>
      <c r="E107" s="189" t="b">
        <v>0</v>
      </c>
      <c r="F107" s="189" t="s">
        <v>8</v>
      </c>
      <c r="G107" s="189" t="s">
        <v>9</v>
      </c>
      <c r="H107" s="36" t="str">
        <f t="shared" si="2"/>
        <v>Wensum|Mixed|FALSE|600to700|FreeDrain</v>
      </c>
      <c r="I107" s="133">
        <v>5.8549659197759278E-2</v>
      </c>
      <c r="J107" s="133">
        <v>27.392643983079061</v>
      </c>
      <c r="K107" s="36" t="str">
        <f t="shared" si="3"/>
        <v>Mixed|600to700</v>
      </c>
      <c r="L107" s="133">
        <f>AVERAGE(I107,I109,I111)</f>
        <v>0.29894216948662167</v>
      </c>
      <c r="M107" s="133">
        <f>AVERAGE(J107,J109,J111)</f>
        <v>21.727687152356594</v>
      </c>
      <c r="N107" s="50">
        <f>AVERAGE(I107:I116)</f>
        <v>0.44688442322441196</v>
      </c>
      <c r="O107" s="215">
        <f>AVERAGE(J107:J116)</f>
        <v>23.438237130589734</v>
      </c>
      <c r="P107" s="138"/>
    </row>
    <row r="108" spans="2:16" x14ac:dyDescent="0.25">
      <c r="B108" s="137"/>
      <c r="C108" s="189" t="s">
        <v>217</v>
      </c>
      <c r="D108" s="189" t="s">
        <v>59</v>
      </c>
      <c r="E108" s="189" t="b">
        <v>1</v>
      </c>
      <c r="F108" s="189" t="s">
        <v>8</v>
      </c>
      <c r="G108" s="189" t="s">
        <v>9</v>
      </c>
      <c r="H108" s="36" t="str">
        <f t="shared" si="2"/>
        <v>Wensum|Mixed|TRUE|600to700|FreeDrain</v>
      </c>
      <c r="I108" s="133">
        <v>5.8326156497808472E-2</v>
      </c>
      <c r="J108" s="133">
        <v>27.326084548070323</v>
      </c>
      <c r="K108" s="36" t="str">
        <f t="shared" si="3"/>
        <v>Mixed|600to700</v>
      </c>
      <c r="L108" s="133"/>
      <c r="M108" s="133"/>
      <c r="N108" s="50"/>
      <c r="O108" s="215"/>
      <c r="P108" s="138"/>
    </row>
    <row r="109" spans="2:16" x14ac:dyDescent="0.25">
      <c r="B109" s="137"/>
      <c r="C109" s="189" t="s">
        <v>217</v>
      </c>
      <c r="D109" s="189" t="s">
        <v>59</v>
      </c>
      <c r="E109" s="189" t="b">
        <v>0</v>
      </c>
      <c r="F109" s="189" t="s">
        <v>8</v>
      </c>
      <c r="G109" s="189" t="s">
        <v>10</v>
      </c>
      <c r="H109" s="36" t="str">
        <f t="shared" si="2"/>
        <v>Wensum|Mixed|FALSE|600to700|DrainedAr</v>
      </c>
      <c r="I109" s="133">
        <v>0.28503442026999537</v>
      </c>
      <c r="J109" s="133">
        <v>18.961889010943114</v>
      </c>
      <c r="K109" s="36" t="str">
        <f t="shared" si="3"/>
        <v>Mixed|600to700</v>
      </c>
      <c r="L109" s="133"/>
      <c r="M109" s="133"/>
      <c r="N109" s="50"/>
      <c r="O109" s="215"/>
      <c r="P109" s="138"/>
    </row>
    <row r="110" spans="2:16" x14ac:dyDescent="0.25">
      <c r="B110" s="137"/>
      <c r="C110" s="189" t="s">
        <v>217</v>
      </c>
      <c r="D110" s="189" t="s">
        <v>59</v>
      </c>
      <c r="E110" s="189" t="b">
        <v>1</v>
      </c>
      <c r="F110" s="189" t="s">
        <v>8</v>
      </c>
      <c r="G110" s="189" t="s">
        <v>10</v>
      </c>
      <c r="H110" s="36" t="str">
        <f t="shared" si="2"/>
        <v>Wensum|Mixed|TRUE|600to700|DrainedAr</v>
      </c>
      <c r="I110" s="133">
        <v>0.28293019935410368</v>
      </c>
      <c r="J110" s="133">
        <v>18.759212606458391</v>
      </c>
      <c r="K110" s="36" t="str">
        <f t="shared" si="3"/>
        <v>Mixed|600to700</v>
      </c>
      <c r="L110" s="133"/>
      <c r="M110" s="133"/>
      <c r="N110" s="50"/>
      <c r="O110" s="215"/>
      <c r="P110" s="138"/>
    </row>
    <row r="111" spans="2:16" x14ac:dyDescent="0.25">
      <c r="B111" s="137"/>
      <c r="C111" s="189" t="s">
        <v>217</v>
      </c>
      <c r="D111" s="189" t="s">
        <v>59</v>
      </c>
      <c r="E111" s="189" t="b">
        <v>1</v>
      </c>
      <c r="F111" s="189" t="s">
        <v>8</v>
      </c>
      <c r="G111" s="189" t="s">
        <v>11</v>
      </c>
      <c r="H111" s="36" t="str">
        <f t="shared" si="2"/>
        <v>Wensum|Mixed|TRUE|600to700|DrainedArGr</v>
      </c>
      <c r="I111" s="133">
        <v>0.55324242899211029</v>
      </c>
      <c r="J111" s="133">
        <v>18.828528463047611</v>
      </c>
      <c r="K111" s="36" t="str">
        <f t="shared" si="3"/>
        <v>Mixed|600to700</v>
      </c>
      <c r="L111" s="133"/>
      <c r="M111" s="133"/>
      <c r="N111" s="50"/>
      <c r="O111" s="215"/>
      <c r="P111" s="138"/>
    </row>
    <row r="112" spans="2:16" x14ac:dyDescent="0.25">
      <c r="B112" s="137"/>
      <c r="C112" s="189" t="s">
        <v>217</v>
      </c>
      <c r="D112" s="189" t="s">
        <v>59</v>
      </c>
      <c r="E112" s="189" t="b">
        <v>1</v>
      </c>
      <c r="F112" s="189" t="s">
        <v>12</v>
      </c>
      <c r="G112" s="189" t="s">
        <v>9</v>
      </c>
      <c r="H112" s="36" t="str">
        <f t="shared" si="2"/>
        <v>Wensum|Mixed|TRUE|700to900|FreeDrain</v>
      </c>
      <c r="I112" s="133">
        <v>0.1437460000833149</v>
      </c>
      <c r="J112" s="133">
        <v>33.10889044095164</v>
      </c>
      <c r="K112" s="36" t="str">
        <f t="shared" si="3"/>
        <v>Mixed|700to900</v>
      </c>
      <c r="L112" s="133">
        <f>AVERAGE(I112,I113,I115)</f>
        <v>0.56357076800169859</v>
      </c>
      <c r="M112" s="133">
        <f>AVERAGE(J112,J113,J115)</f>
        <v>26.137320739211859</v>
      </c>
      <c r="N112" s="50"/>
      <c r="O112" s="215"/>
      <c r="P112" s="138"/>
    </row>
    <row r="113" spans="2:16" x14ac:dyDescent="0.25">
      <c r="B113" s="137"/>
      <c r="C113" s="189" t="s">
        <v>217</v>
      </c>
      <c r="D113" s="189" t="s">
        <v>59</v>
      </c>
      <c r="E113" s="189" t="b">
        <v>0</v>
      </c>
      <c r="F113" s="189" t="s">
        <v>12</v>
      </c>
      <c r="G113" s="189" t="s">
        <v>10</v>
      </c>
      <c r="H113" s="36" t="str">
        <f t="shared" si="2"/>
        <v>Wensum|Mixed|FALSE|700to900|DrainedAr</v>
      </c>
      <c r="I113" s="133">
        <v>0.59781542523795927</v>
      </c>
      <c r="J113" s="133">
        <v>24.323101999615183</v>
      </c>
      <c r="K113" s="36" t="str">
        <f t="shared" si="3"/>
        <v>Mixed|700to900</v>
      </c>
      <c r="L113" s="133"/>
      <c r="M113" s="133"/>
      <c r="N113" s="50"/>
      <c r="O113" s="215"/>
      <c r="P113" s="138"/>
    </row>
    <row r="114" spans="2:16" x14ac:dyDescent="0.25">
      <c r="B114" s="137"/>
      <c r="C114" s="189" t="s">
        <v>217</v>
      </c>
      <c r="D114" s="189" t="s">
        <v>59</v>
      </c>
      <c r="E114" s="189" t="b">
        <v>1</v>
      </c>
      <c r="F114" s="189" t="s">
        <v>12</v>
      </c>
      <c r="G114" s="189" t="s">
        <v>10</v>
      </c>
      <c r="H114" s="36" t="str">
        <f t="shared" si="2"/>
        <v>Wensum|Mixed|TRUE|700to900|DrainedAr</v>
      </c>
      <c r="I114" s="133">
        <v>0.59527919024563358</v>
      </c>
      <c r="J114" s="133">
        <v>24.06111159672875</v>
      </c>
      <c r="K114" s="36" t="str">
        <f t="shared" si="3"/>
        <v>Mixed|700to900</v>
      </c>
      <c r="L114" s="133"/>
      <c r="M114" s="133"/>
      <c r="N114" s="50"/>
      <c r="O114" s="215"/>
      <c r="P114" s="138"/>
    </row>
    <row r="115" spans="2:16" x14ac:dyDescent="0.25">
      <c r="B115" s="137"/>
      <c r="C115" s="189" t="s">
        <v>217</v>
      </c>
      <c r="D115" s="189" t="s">
        <v>59</v>
      </c>
      <c r="E115" s="189" t="b">
        <v>0</v>
      </c>
      <c r="F115" s="189" t="s">
        <v>12</v>
      </c>
      <c r="G115" s="189" t="s">
        <v>11</v>
      </c>
      <c r="H115" s="36" t="str">
        <f t="shared" si="2"/>
        <v>Wensum|Mixed|FALSE|700to900|DrainedArGr</v>
      </c>
      <c r="I115" s="133">
        <v>0.94915087868382153</v>
      </c>
      <c r="J115" s="133">
        <v>20.979969777068753</v>
      </c>
      <c r="K115" s="36" t="str">
        <f t="shared" si="3"/>
        <v>Mixed|700to900</v>
      </c>
      <c r="L115" s="133"/>
      <c r="M115" s="133"/>
      <c r="N115" s="50"/>
      <c r="O115" s="215"/>
      <c r="P115" s="138"/>
    </row>
    <row r="116" spans="2:16" x14ac:dyDescent="0.25">
      <c r="B116" s="137"/>
      <c r="C116" s="189" t="s">
        <v>217</v>
      </c>
      <c r="D116" s="189" t="s">
        <v>59</v>
      </c>
      <c r="E116" s="189" t="b">
        <v>1</v>
      </c>
      <c r="F116" s="189" t="s">
        <v>12</v>
      </c>
      <c r="G116" s="189" t="s">
        <v>11</v>
      </c>
      <c r="H116" s="36" t="str">
        <f t="shared" si="2"/>
        <v>Wensum|Mixed|TRUE|700to900|DrainedArGr</v>
      </c>
      <c r="I116" s="133">
        <v>0.94476987368161325</v>
      </c>
      <c r="J116" s="133">
        <v>20.640938879934467</v>
      </c>
      <c r="K116" s="36" t="str">
        <f t="shared" si="3"/>
        <v>Mixed|700to900</v>
      </c>
      <c r="L116" s="133"/>
      <c r="M116" s="133"/>
      <c r="N116" s="50"/>
      <c r="O116" s="215"/>
      <c r="P116" s="138"/>
    </row>
    <row r="117" spans="2:16" x14ac:dyDescent="0.25">
      <c r="B117" s="137"/>
      <c r="C117" s="189" t="s">
        <v>223</v>
      </c>
      <c r="D117" s="189" t="s">
        <v>7</v>
      </c>
      <c r="E117" s="189" t="b">
        <v>0</v>
      </c>
      <c r="F117" s="189" t="s">
        <v>8</v>
      </c>
      <c r="G117" s="189" t="s">
        <v>9</v>
      </c>
      <c r="H117" s="36" t="str">
        <f>D117&amp;"|"&amp;E117&amp;"|"&amp;F117&amp;"|"&amp;G117</f>
        <v>Cereals|FALSE|600to700|FreeDrain</v>
      </c>
      <c r="I117" s="133">
        <v>6.0592584488517821E-2</v>
      </c>
      <c r="J117" s="133">
        <v>26.397177367212578</v>
      </c>
      <c r="K117" s="36" t="str">
        <f t="shared" si="3"/>
        <v>Cereals|600to700</v>
      </c>
      <c r="L117" s="203">
        <f>AVERAGE(I117,I119,I121)</f>
        <v>0.32152638644951764</v>
      </c>
      <c r="M117" s="133">
        <v>22.06315931823902</v>
      </c>
      <c r="N117" s="50"/>
      <c r="O117" s="215"/>
      <c r="P117" s="138"/>
    </row>
    <row r="118" spans="2:16" x14ac:dyDescent="0.25">
      <c r="B118" s="137"/>
      <c r="C118" s="189" t="s">
        <v>223</v>
      </c>
      <c r="D118" s="189" t="s">
        <v>7</v>
      </c>
      <c r="E118" s="189" t="b">
        <v>1</v>
      </c>
      <c r="F118" s="189" t="s">
        <v>8</v>
      </c>
      <c r="G118" s="189" t="s">
        <v>9</v>
      </c>
      <c r="H118" s="36" t="str">
        <f t="shared" ref="H118:H181" si="4">D118&amp;"|"&amp;E118&amp;"|"&amp;F118&amp;"|"&amp;G118</f>
        <v>Cereals|TRUE|600to700|FreeDrain</v>
      </c>
      <c r="I118" s="133">
        <v>6.0582166670006848E-2</v>
      </c>
      <c r="J118" s="133">
        <v>26.317222653587478</v>
      </c>
      <c r="K118" s="36" t="str">
        <f t="shared" si="3"/>
        <v>Cereals|600to700</v>
      </c>
      <c r="L118" s="195"/>
      <c r="M118" s="195"/>
      <c r="N118" s="50"/>
      <c r="O118" s="215"/>
      <c r="P118" s="138"/>
    </row>
    <row r="119" spans="2:16" x14ac:dyDescent="0.25">
      <c r="B119" s="137"/>
      <c r="C119" s="189" t="s">
        <v>223</v>
      </c>
      <c r="D119" s="189" t="s">
        <v>7</v>
      </c>
      <c r="E119" s="189" t="b">
        <v>0</v>
      </c>
      <c r="F119" s="189" t="s">
        <v>8</v>
      </c>
      <c r="G119" s="189" t="s">
        <v>10</v>
      </c>
      <c r="H119" s="36" t="str">
        <f t="shared" si="4"/>
        <v>Cereals|FALSE|600to700|DrainedAr</v>
      </c>
      <c r="I119" s="133">
        <v>0.34188438426249124</v>
      </c>
      <c r="J119" s="133">
        <v>19.282865215133032</v>
      </c>
      <c r="K119" s="36" t="str">
        <f t="shared" si="3"/>
        <v>Cereals|600to700</v>
      </c>
      <c r="L119" s="195"/>
      <c r="M119" s="195"/>
      <c r="N119" s="50"/>
      <c r="O119" s="215"/>
      <c r="P119" s="138"/>
    </row>
    <row r="120" spans="2:16" x14ac:dyDescent="0.25">
      <c r="B120" s="137"/>
      <c r="C120" s="189" t="s">
        <v>223</v>
      </c>
      <c r="D120" s="189" t="s">
        <v>7</v>
      </c>
      <c r="E120" s="189" t="b">
        <v>1</v>
      </c>
      <c r="F120" s="189" t="s">
        <v>8</v>
      </c>
      <c r="G120" s="189" t="s">
        <v>10</v>
      </c>
      <c r="H120" s="36" t="str">
        <f t="shared" si="4"/>
        <v>Cereals|TRUE|600to700|DrainedAr</v>
      </c>
      <c r="I120" s="133">
        <v>0.34181450819707121</v>
      </c>
      <c r="J120" s="133">
        <v>19.226490695617095</v>
      </c>
      <c r="K120" s="36" t="str">
        <f t="shared" si="3"/>
        <v>Cereals|600to700</v>
      </c>
      <c r="L120" s="195"/>
      <c r="M120" s="195"/>
      <c r="N120" s="50"/>
      <c r="O120" s="215"/>
      <c r="P120" s="138"/>
    </row>
    <row r="121" spans="2:16" x14ac:dyDescent="0.25">
      <c r="B121" s="137"/>
      <c r="C121" s="189" t="s">
        <v>223</v>
      </c>
      <c r="D121" s="189" t="s">
        <v>7</v>
      </c>
      <c r="E121" s="189" t="b">
        <v>0</v>
      </c>
      <c r="F121" s="189" t="s">
        <v>8</v>
      </c>
      <c r="G121" s="189" t="s">
        <v>11</v>
      </c>
      <c r="H121" s="36" t="str">
        <f t="shared" si="4"/>
        <v>Cereals|FALSE|600to700|DrainedArGr</v>
      </c>
      <c r="I121" s="133">
        <v>0.56210219059754374</v>
      </c>
      <c r="J121" s="133">
        <v>20.509435372371449</v>
      </c>
      <c r="K121" s="36" t="str">
        <f t="shared" si="3"/>
        <v>Cereals|600to700</v>
      </c>
      <c r="L121" s="195"/>
      <c r="M121" s="195"/>
      <c r="N121" s="50"/>
      <c r="O121" s="215"/>
      <c r="P121" s="138"/>
    </row>
    <row r="122" spans="2:16" x14ac:dyDescent="0.25">
      <c r="B122" s="137"/>
      <c r="C122" s="189" t="s">
        <v>223</v>
      </c>
      <c r="D122" s="189" t="s">
        <v>7</v>
      </c>
      <c r="E122" s="189" t="b">
        <v>1</v>
      </c>
      <c r="F122" s="189" t="s">
        <v>8</v>
      </c>
      <c r="G122" s="189" t="s">
        <v>11</v>
      </c>
      <c r="H122" s="36" t="str">
        <f t="shared" si="4"/>
        <v>Cereals|TRUE|600to700|DrainedArGr</v>
      </c>
      <c r="I122" s="133">
        <v>0.56196578453387513</v>
      </c>
      <c r="J122" s="133">
        <v>20.452687500523627</v>
      </c>
      <c r="K122" s="36" t="str">
        <f t="shared" si="3"/>
        <v>Cereals|600to700</v>
      </c>
      <c r="L122" s="195"/>
      <c r="M122" s="195"/>
      <c r="N122" s="50"/>
      <c r="O122" s="215"/>
      <c r="P122" s="138"/>
    </row>
    <row r="123" spans="2:16" x14ac:dyDescent="0.25">
      <c r="B123" s="137"/>
      <c r="C123" s="189" t="s">
        <v>223</v>
      </c>
      <c r="D123" s="189" t="s">
        <v>7</v>
      </c>
      <c r="E123" s="189" t="b">
        <v>0</v>
      </c>
      <c r="F123" s="189" t="s">
        <v>12</v>
      </c>
      <c r="G123" s="189" t="s">
        <v>9</v>
      </c>
      <c r="H123" s="36" t="str">
        <f t="shared" si="4"/>
        <v>Cereals|FALSE|700to900|FreeDrain</v>
      </c>
      <c r="I123" s="133">
        <v>0.17537728914488418</v>
      </c>
      <c r="J123" s="133">
        <v>31.509091926386176</v>
      </c>
      <c r="K123" s="36" t="str">
        <f t="shared" si="3"/>
        <v>Cereals|700to900</v>
      </c>
      <c r="L123" s="203">
        <v>0.63382900611061899</v>
      </c>
      <c r="M123" s="203">
        <v>25.986582799405792</v>
      </c>
      <c r="N123" s="50"/>
      <c r="O123" s="215"/>
      <c r="P123" s="138"/>
    </row>
    <row r="124" spans="2:16" x14ac:dyDescent="0.25">
      <c r="B124" s="137"/>
      <c r="C124" s="189" t="s">
        <v>223</v>
      </c>
      <c r="D124" s="189" t="s">
        <v>7</v>
      </c>
      <c r="E124" s="189" t="b">
        <v>1</v>
      </c>
      <c r="F124" s="189" t="s">
        <v>12</v>
      </c>
      <c r="G124" s="189" t="s">
        <v>9</v>
      </c>
      <c r="H124" s="36" t="str">
        <f t="shared" si="4"/>
        <v>Cereals|TRUE|700to900|FreeDrain</v>
      </c>
      <c r="I124" s="133">
        <v>0.17535803032209482</v>
      </c>
      <c r="J124" s="133">
        <v>31.414366562371431</v>
      </c>
      <c r="K124" s="36" t="str">
        <f t="shared" si="3"/>
        <v>Cereals|700to900</v>
      </c>
      <c r="L124" s="195"/>
      <c r="M124" s="195"/>
      <c r="N124" s="50"/>
      <c r="O124" s="215"/>
      <c r="P124" s="138"/>
    </row>
    <row r="125" spans="2:16" x14ac:dyDescent="0.25">
      <c r="B125" s="137"/>
      <c r="C125" s="189" t="s">
        <v>223</v>
      </c>
      <c r="D125" s="189" t="s">
        <v>7</v>
      </c>
      <c r="E125" s="189" t="b">
        <v>0</v>
      </c>
      <c r="F125" s="189" t="s">
        <v>12</v>
      </c>
      <c r="G125" s="189" t="s">
        <v>10</v>
      </c>
      <c r="H125" s="36" t="str">
        <f t="shared" si="4"/>
        <v>Cereals|FALSE|700to900|DrainedAr</v>
      </c>
      <c r="I125" s="133">
        <v>0.73582926930533388</v>
      </c>
      <c r="J125" s="133">
        <v>24.034498340050803</v>
      </c>
      <c r="K125" s="36" t="str">
        <f t="shared" si="3"/>
        <v>Cereals|700to900</v>
      </c>
      <c r="L125" s="195"/>
      <c r="M125" s="195"/>
      <c r="N125" s="50"/>
      <c r="O125" s="215"/>
      <c r="P125" s="138"/>
    </row>
    <row r="126" spans="2:16" x14ac:dyDescent="0.25">
      <c r="B126" s="137"/>
      <c r="C126" s="189" t="s">
        <v>223</v>
      </c>
      <c r="D126" s="189" t="s">
        <v>7</v>
      </c>
      <c r="E126" s="189" t="b">
        <v>1</v>
      </c>
      <c r="F126" s="189" t="s">
        <v>12</v>
      </c>
      <c r="G126" s="189" t="s">
        <v>10</v>
      </c>
      <c r="H126" s="36" t="str">
        <f t="shared" si="4"/>
        <v>Cereals|TRUE|700to900|DrainedAr</v>
      </c>
      <c r="I126" s="133">
        <v>0.735735906665413</v>
      </c>
      <c r="J126" s="133">
        <v>23.965617110947107</v>
      </c>
      <c r="K126" s="36" t="str">
        <f t="shared" si="3"/>
        <v>Cereals|700to900</v>
      </c>
      <c r="L126" s="195"/>
      <c r="M126" s="195"/>
      <c r="N126" s="50"/>
      <c r="O126" s="215"/>
      <c r="P126" s="138"/>
    </row>
    <row r="127" spans="2:16" x14ac:dyDescent="0.25">
      <c r="B127" s="137"/>
      <c r="C127" s="189" t="s">
        <v>223</v>
      </c>
      <c r="D127" s="189" t="s">
        <v>7</v>
      </c>
      <c r="E127" s="189" t="b">
        <v>0</v>
      </c>
      <c r="F127" s="189" t="s">
        <v>12</v>
      </c>
      <c r="G127" s="189" t="s">
        <v>11</v>
      </c>
      <c r="H127" s="36" t="str">
        <f t="shared" si="4"/>
        <v>Cereals|FALSE|700to900|DrainedArGr</v>
      </c>
      <c r="I127" s="133">
        <v>0.99028045988163893</v>
      </c>
      <c r="J127" s="133">
        <v>22.416158131780392</v>
      </c>
      <c r="K127" s="36" t="str">
        <f t="shared" si="3"/>
        <v>Cereals|700to900</v>
      </c>
      <c r="L127" s="195"/>
      <c r="M127" s="195"/>
      <c r="N127" s="50"/>
      <c r="O127" s="215"/>
      <c r="P127" s="138"/>
    </row>
    <row r="128" spans="2:16" x14ac:dyDescent="0.25">
      <c r="B128" s="137"/>
      <c r="C128" s="189" t="s">
        <v>223</v>
      </c>
      <c r="D128" s="189" t="s">
        <v>7</v>
      </c>
      <c r="E128" s="189" t="b">
        <v>1</v>
      </c>
      <c r="F128" s="189" t="s">
        <v>12</v>
      </c>
      <c r="G128" s="189" t="s">
        <v>11</v>
      </c>
      <c r="H128" s="36" t="str">
        <f t="shared" si="4"/>
        <v>Cereals|TRUE|700to900|DrainedArGr</v>
      </c>
      <c r="I128" s="133">
        <v>0.99010424808601316</v>
      </c>
      <c r="J128" s="133">
        <v>22.357247948876974</v>
      </c>
      <c r="K128" s="36" t="str">
        <f t="shared" si="3"/>
        <v>Cereals|700to900</v>
      </c>
      <c r="L128" s="195"/>
      <c r="M128" s="195"/>
      <c r="N128" s="50"/>
      <c r="O128" s="215"/>
      <c r="P128" s="138"/>
    </row>
    <row r="129" spans="2:16" x14ac:dyDescent="0.25">
      <c r="B129" s="137"/>
      <c r="C129" s="189" t="s">
        <v>223</v>
      </c>
      <c r="D129" s="189" t="s">
        <v>7</v>
      </c>
      <c r="E129" s="189" t="b">
        <v>1</v>
      </c>
      <c r="F129" s="189" t="s">
        <v>28</v>
      </c>
      <c r="G129" s="189" t="s">
        <v>9</v>
      </c>
      <c r="H129" s="36" t="str">
        <f t="shared" si="4"/>
        <v>Cereals|TRUE|Over1500|FreeDrain</v>
      </c>
      <c r="I129" s="133">
        <v>0.8569518283827724</v>
      </c>
      <c r="J129" s="133">
        <v>35.044811123670101</v>
      </c>
      <c r="K129" s="36" t="str">
        <f t="shared" si="3"/>
        <v>Cereals|Over1500</v>
      </c>
      <c r="L129" s="203">
        <v>0.8569518283827724</v>
      </c>
      <c r="M129" s="203">
        <v>35.044811123670101</v>
      </c>
      <c r="N129" s="50"/>
      <c r="O129" s="215"/>
      <c r="P129" s="138"/>
    </row>
    <row r="130" spans="2:16" x14ac:dyDescent="0.25">
      <c r="B130" s="137"/>
      <c r="C130" s="189" t="s">
        <v>223</v>
      </c>
      <c r="D130" s="189" t="s">
        <v>25</v>
      </c>
      <c r="E130" s="189" t="b">
        <v>0</v>
      </c>
      <c r="F130" s="189" t="s">
        <v>8</v>
      </c>
      <c r="G130" s="189" t="s">
        <v>9</v>
      </c>
      <c r="H130" s="36" t="str">
        <f t="shared" si="4"/>
        <v>General|FALSE|600to700|FreeDrain</v>
      </c>
      <c r="I130" s="133">
        <v>5.3602459417258698E-2</v>
      </c>
      <c r="J130" s="133">
        <v>26.288722579895399</v>
      </c>
      <c r="K130" s="36" t="str">
        <f t="shared" si="3"/>
        <v>General|600to700</v>
      </c>
      <c r="L130" s="203">
        <v>0.28403349287329233</v>
      </c>
      <c r="M130" s="203">
        <v>21.296674253748058</v>
      </c>
      <c r="N130" s="50"/>
      <c r="O130" s="215"/>
      <c r="P130" s="138"/>
    </row>
    <row r="131" spans="2:16" x14ac:dyDescent="0.25">
      <c r="B131" s="137"/>
      <c r="C131" s="189" t="s">
        <v>223</v>
      </c>
      <c r="D131" s="189" t="s">
        <v>25</v>
      </c>
      <c r="E131" s="189" t="b">
        <v>1</v>
      </c>
      <c r="F131" s="189" t="s">
        <v>8</v>
      </c>
      <c r="G131" s="189" t="s">
        <v>9</v>
      </c>
      <c r="H131" s="36" t="str">
        <f t="shared" si="4"/>
        <v>General|TRUE|600to700|FreeDrain</v>
      </c>
      <c r="I131" s="133">
        <v>5.3602459417258698E-2</v>
      </c>
      <c r="J131" s="133">
        <v>26.219874727732513</v>
      </c>
      <c r="K131" s="36" t="str">
        <f t="shared" si="3"/>
        <v>General|600to700</v>
      </c>
      <c r="L131" s="195"/>
      <c r="M131" s="195"/>
      <c r="N131" s="50"/>
      <c r="O131" s="215"/>
      <c r="P131" s="138"/>
    </row>
    <row r="132" spans="2:16" x14ac:dyDescent="0.25">
      <c r="B132" s="137"/>
      <c r="C132" s="189" t="s">
        <v>223</v>
      </c>
      <c r="D132" s="189" t="s">
        <v>25</v>
      </c>
      <c r="E132" s="189" t="b">
        <v>0</v>
      </c>
      <c r="F132" s="189" t="s">
        <v>8</v>
      </c>
      <c r="G132" s="189" t="s">
        <v>10</v>
      </c>
      <c r="H132" s="36" t="str">
        <f t="shared" si="4"/>
        <v>General|FALSE|600to700|DrainedAr</v>
      </c>
      <c r="I132" s="133">
        <v>0.29523438269230684</v>
      </c>
      <c r="J132" s="133">
        <v>18.435086025803336</v>
      </c>
      <c r="K132" s="36" t="str">
        <f t="shared" si="3"/>
        <v>General|600to700</v>
      </c>
      <c r="L132" s="195"/>
      <c r="M132" s="195"/>
      <c r="N132" s="50"/>
      <c r="O132" s="215"/>
      <c r="P132" s="138"/>
    </row>
    <row r="133" spans="2:16" x14ac:dyDescent="0.25">
      <c r="B133" s="137"/>
      <c r="C133" s="189" t="s">
        <v>223</v>
      </c>
      <c r="D133" s="189" t="s">
        <v>25</v>
      </c>
      <c r="E133" s="189" t="b">
        <v>1</v>
      </c>
      <c r="F133" s="189" t="s">
        <v>8</v>
      </c>
      <c r="G133" s="189" t="s">
        <v>10</v>
      </c>
      <c r="H133" s="36" t="str">
        <f t="shared" si="4"/>
        <v>General|TRUE|600to700|DrainedAr</v>
      </c>
      <c r="I133" s="133">
        <v>0.29523438269230684</v>
      </c>
      <c r="J133" s="133">
        <v>18.390801610361105</v>
      </c>
      <c r="K133" s="36" t="str">
        <f t="shared" si="3"/>
        <v>General|600to700</v>
      </c>
      <c r="L133" s="195"/>
      <c r="M133" s="195"/>
      <c r="N133" s="50"/>
      <c r="O133" s="215"/>
      <c r="P133" s="138"/>
    </row>
    <row r="134" spans="2:16" x14ac:dyDescent="0.25">
      <c r="B134" s="137"/>
      <c r="C134" s="189" t="s">
        <v>223</v>
      </c>
      <c r="D134" s="189" t="s">
        <v>25</v>
      </c>
      <c r="E134" s="189" t="b">
        <v>0</v>
      </c>
      <c r="F134" s="189" t="s">
        <v>8</v>
      </c>
      <c r="G134" s="189" t="s">
        <v>11</v>
      </c>
      <c r="H134" s="36" t="str">
        <f t="shared" si="4"/>
        <v>General|FALSE|600to700|DrainedArGr</v>
      </c>
      <c r="I134" s="133">
        <v>0.50326363651031136</v>
      </c>
      <c r="J134" s="133">
        <v>19.16621415554544</v>
      </c>
      <c r="K134" s="36" t="str">
        <f t="shared" si="3"/>
        <v>General|600to700</v>
      </c>
      <c r="L134" s="195"/>
      <c r="M134" s="195"/>
      <c r="N134" s="50"/>
      <c r="O134" s="215"/>
      <c r="P134" s="138"/>
    </row>
    <row r="135" spans="2:16" x14ac:dyDescent="0.25">
      <c r="B135" s="137"/>
      <c r="C135" s="189" t="s">
        <v>223</v>
      </c>
      <c r="D135" s="189" t="s">
        <v>25</v>
      </c>
      <c r="E135" s="189" t="b">
        <v>1</v>
      </c>
      <c r="F135" s="189" t="s">
        <v>8</v>
      </c>
      <c r="G135" s="189" t="s">
        <v>11</v>
      </c>
      <c r="H135" s="36" t="str">
        <f t="shared" si="4"/>
        <v>General|TRUE|600to700|DrainedArGr</v>
      </c>
      <c r="I135" s="133">
        <v>0.50326363651031136</v>
      </c>
      <c r="J135" s="133">
        <v>19.123574366234593</v>
      </c>
      <c r="K135" s="36" t="str">
        <f t="shared" si="3"/>
        <v>General|600to700</v>
      </c>
      <c r="L135" s="195"/>
      <c r="M135" s="195"/>
      <c r="N135" s="50"/>
      <c r="O135" s="215"/>
      <c r="P135" s="138"/>
    </row>
    <row r="136" spans="2:16" x14ac:dyDescent="0.25">
      <c r="B136" s="137"/>
      <c r="C136" s="189" t="s">
        <v>223</v>
      </c>
      <c r="D136" s="189" t="s">
        <v>25</v>
      </c>
      <c r="E136" s="189" t="b">
        <v>0</v>
      </c>
      <c r="F136" s="189" t="s">
        <v>12</v>
      </c>
      <c r="G136" s="189" t="s">
        <v>9</v>
      </c>
      <c r="H136" s="36" t="str">
        <f t="shared" si="4"/>
        <v>General|FALSE|700to900|FreeDrain</v>
      </c>
      <c r="I136" s="133">
        <v>0.15221957880027007</v>
      </c>
      <c r="J136" s="133">
        <v>31.247808561461444</v>
      </c>
      <c r="K136" s="36" t="str">
        <f t="shared" si="3"/>
        <v>General|700to900</v>
      </c>
      <c r="L136" s="203">
        <v>0.54403623258977751</v>
      </c>
      <c r="M136" s="203">
        <v>24.845105014685462</v>
      </c>
      <c r="N136" s="50"/>
      <c r="O136" s="215"/>
      <c r="P136" s="138"/>
    </row>
    <row r="137" spans="2:16" x14ac:dyDescent="0.25">
      <c r="B137" s="137"/>
      <c r="C137" s="189" t="s">
        <v>223</v>
      </c>
      <c r="D137" s="189" t="s">
        <v>25</v>
      </c>
      <c r="E137" s="189" t="b">
        <v>1</v>
      </c>
      <c r="F137" s="189" t="s">
        <v>12</v>
      </c>
      <c r="G137" s="189" t="s">
        <v>9</v>
      </c>
      <c r="H137" s="36" t="str">
        <f t="shared" si="4"/>
        <v>General|TRUE|700to900|FreeDrain</v>
      </c>
      <c r="I137" s="133">
        <v>0.15221957880027007</v>
      </c>
      <c r="J137" s="133">
        <v>31.166812852979639</v>
      </c>
      <c r="K137" s="36" t="str">
        <f t="shared" si="3"/>
        <v>General|700to900</v>
      </c>
      <c r="L137" s="195"/>
      <c r="M137" s="195"/>
      <c r="N137" s="50"/>
      <c r="O137" s="215"/>
      <c r="P137" s="138"/>
    </row>
    <row r="138" spans="2:16" x14ac:dyDescent="0.25">
      <c r="B138" s="137"/>
      <c r="C138" s="189" t="s">
        <v>223</v>
      </c>
      <c r="D138" s="189" t="s">
        <v>25</v>
      </c>
      <c r="E138" s="189" t="b">
        <v>0</v>
      </c>
      <c r="F138" s="189" t="s">
        <v>12</v>
      </c>
      <c r="G138" s="189" t="s">
        <v>10</v>
      </c>
      <c r="H138" s="36" t="str">
        <f t="shared" si="4"/>
        <v>General|FALSE|700to900|DrainedAr</v>
      </c>
      <c r="I138" s="133">
        <v>0.6166878401932645</v>
      </c>
      <c r="J138" s="133">
        <v>22.762196300974669</v>
      </c>
      <c r="K138" s="36" t="str">
        <f t="shared" si="3"/>
        <v>General|700to900</v>
      </c>
      <c r="L138" s="195"/>
      <c r="M138" s="195"/>
      <c r="N138" s="50"/>
      <c r="O138" s="215"/>
      <c r="P138" s="138"/>
    </row>
    <row r="139" spans="2:16" x14ac:dyDescent="0.25">
      <c r="B139" s="137"/>
      <c r="C139" s="189" t="s">
        <v>223</v>
      </c>
      <c r="D139" s="189" t="s">
        <v>25</v>
      </c>
      <c r="E139" s="189" t="b">
        <v>1</v>
      </c>
      <c r="F139" s="189" t="s">
        <v>12</v>
      </c>
      <c r="G139" s="189" t="s">
        <v>10</v>
      </c>
      <c r="H139" s="36" t="str">
        <f t="shared" si="4"/>
        <v>General|TRUE|700to900|DrainedAr</v>
      </c>
      <c r="I139" s="133">
        <v>0.6166878401932645</v>
      </c>
      <c r="J139" s="133">
        <v>22.708755567832352</v>
      </c>
      <c r="K139" s="36" t="str">
        <f t="shared" si="3"/>
        <v>General|700to900</v>
      </c>
      <c r="L139" s="195"/>
      <c r="M139" s="195"/>
      <c r="N139" s="50"/>
      <c r="O139" s="215"/>
      <c r="P139" s="138"/>
    </row>
    <row r="140" spans="2:16" x14ac:dyDescent="0.25">
      <c r="B140" s="137"/>
      <c r="C140" s="189" t="s">
        <v>223</v>
      </c>
      <c r="D140" s="189" t="s">
        <v>25</v>
      </c>
      <c r="E140" s="189" t="b">
        <v>0</v>
      </c>
      <c r="F140" s="189" t="s">
        <v>12</v>
      </c>
      <c r="G140" s="189" t="s">
        <v>11</v>
      </c>
      <c r="H140" s="36" t="str">
        <f t="shared" si="4"/>
        <v>General|FALSE|700to900|DrainedArGr</v>
      </c>
      <c r="I140" s="133">
        <v>0.86320127877579789</v>
      </c>
      <c r="J140" s="133">
        <v>20.525310181620274</v>
      </c>
      <c r="K140" s="36" t="str">
        <f t="shared" si="3"/>
        <v>General|700to900</v>
      </c>
      <c r="L140" s="195"/>
      <c r="M140" s="195"/>
      <c r="N140" s="50"/>
      <c r="O140" s="215"/>
      <c r="P140" s="138"/>
    </row>
    <row r="141" spans="2:16" x14ac:dyDescent="0.25">
      <c r="B141" s="137"/>
      <c r="C141" s="189" t="s">
        <v>223</v>
      </c>
      <c r="D141" s="189" t="s">
        <v>25</v>
      </c>
      <c r="E141" s="189" t="b">
        <v>1</v>
      </c>
      <c r="F141" s="189" t="s">
        <v>12</v>
      </c>
      <c r="G141" s="189" t="s">
        <v>11</v>
      </c>
      <c r="H141" s="36" t="str">
        <f t="shared" si="4"/>
        <v>General|TRUE|700to900|DrainedArGr</v>
      </c>
      <c r="I141" s="133">
        <v>0.86320127877579789</v>
      </c>
      <c r="J141" s="133">
        <v>20.482537944095384</v>
      </c>
      <c r="K141" s="36" t="str">
        <f t="shared" si="3"/>
        <v>General|700to900</v>
      </c>
      <c r="L141" s="195"/>
      <c r="M141" s="195"/>
      <c r="N141" s="50"/>
      <c r="O141" s="215"/>
      <c r="P141" s="138"/>
    </row>
    <row r="142" spans="2:16" x14ac:dyDescent="0.25">
      <c r="B142" s="137"/>
      <c r="C142" s="189" t="s">
        <v>223</v>
      </c>
      <c r="D142" s="189" t="s">
        <v>25</v>
      </c>
      <c r="E142" s="189" t="b">
        <v>1</v>
      </c>
      <c r="F142" s="189" t="s">
        <v>28</v>
      </c>
      <c r="G142" s="189" t="s">
        <v>9</v>
      </c>
      <c r="H142" s="36" t="str">
        <f t="shared" si="4"/>
        <v>General|TRUE|Over1500|FreeDrain</v>
      </c>
      <c r="I142" s="133">
        <v>0.76326653494025309</v>
      </c>
      <c r="J142" s="133">
        <v>34.334457956495406</v>
      </c>
      <c r="K142" s="36" t="str">
        <f t="shared" si="3"/>
        <v>General|Over1500</v>
      </c>
      <c r="L142" s="203">
        <v>0.76326653494025309</v>
      </c>
      <c r="M142" s="203">
        <v>34.334457956495406</v>
      </c>
      <c r="N142" s="50"/>
      <c r="O142" s="215"/>
      <c r="P142" s="138"/>
    </row>
    <row r="143" spans="2:16" x14ac:dyDescent="0.25">
      <c r="B143" s="137"/>
      <c r="C143" s="189" t="s">
        <v>223</v>
      </c>
      <c r="D143" s="189" t="s">
        <v>32</v>
      </c>
      <c r="E143" s="189" t="b">
        <v>0</v>
      </c>
      <c r="F143" s="189" t="s">
        <v>8</v>
      </c>
      <c r="G143" s="189" t="s">
        <v>9</v>
      </c>
      <c r="H143" s="36" t="str">
        <f t="shared" si="4"/>
        <v>Horticulture|FALSE|600to700|FreeDrain</v>
      </c>
      <c r="I143" s="133">
        <v>5.3241788883553298E-2</v>
      </c>
      <c r="J143" s="133">
        <v>22.149428099980568</v>
      </c>
      <c r="K143" s="36" t="str">
        <f t="shared" si="3"/>
        <v>Horticulture|600to700</v>
      </c>
      <c r="L143" s="203">
        <v>0.3001381309307985</v>
      </c>
      <c r="M143" s="203">
        <v>17.882455804250615</v>
      </c>
      <c r="N143" s="50"/>
      <c r="O143" s="37"/>
      <c r="P143" s="138"/>
    </row>
    <row r="144" spans="2:16" x14ac:dyDescent="0.25">
      <c r="B144" s="137"/>
      <c r="C144" s="189" t="s">
        <v>223</v>
      </c>
      <c r="D144" s="189" t="s">
        <v>32</v>
      </c>
      <c r="E144" s="189" t="b">
        <v>1</v>
      </c>
      <c r="F144" s="189" t="s">
        <v>8</v>
      </c>
      <c r="G144" s="189" t="s">
        <v>9</v>
      </c>
      <c r="H144" s="36" t="str">
        <f t="shared" si="4"/>
        <v>Horticulture|TRUE|600to700|FreeDrain</v>
      </c>
      <c r="I144" s="133">
        <v>5.3241788883553298E-2</v>
      </c>
      <c r="J144" s="133">
        <v>22.092641385302347</v>
      </c>
      <c r="K144" s="36" t="str">
        <f t="shared" si="3"/>
        <v>Horticulture|600to700</v>
      </c>
      <c r="L144" s="195"/>
      <c r="M144" s="195"/>
      <c r="N144" s="50"/>
      <c r="O144" s="37"/>
      <c r="P144" s="138"/>
    </row>
    <row r="145" spans="2:16" x14ac:dyDescent="0.25">
      <c r="B145" s="137"/>
      <c r="C145" s="189" t="s">
        <v>223</v>
      </c>
      <c r="D145" s="189" t="s">
        <v>32</v>
      </c>
      <c r="E145" s="189" t="b">
        <v>0</v>
      </c>
      <c r="F145" s="189" t="s">
        <v>8</v>
      </c>
      <c r="G145" s="189" t="s">
        <v>10</v>
      </c>
      <c r="H145" s="36" t="str">
        <f t="shared" si="4"/>
        <v>Horticulture|FALSE|600to700|DrainedAr</v>
      </c>
      <c r="I145" s="133">
        <v>0.31442646171193694</v>
      </c>
      <c r="J145" s="133">
        <v>15.496879275783909</v>
      </c>
      <c r="K145" s="36" t="str">
        <f t="shared" si="3"/>
        <v>Horticulture|600to700</v>
      </c>
      <c r="L145" s="195"/>
      <c r="M145" s="195"/>
      <c r="N145" s="50"/>
      <c r="O145" s="37"/>
      <c r="P145" s="138"/>
    </row>
    <row r="146" spans="2:16" x14ac:dyDescent="0.25">
      <c r="B146" s="137"/>
      <c r="C146" s="189" t="s">
        <v>223</v>
      </c>
      <c r="D146" s="189" t="s">
        <v>32</v>
      </c>
      <c r="E146" s="189" t="b">
        <v>1</v>
      </c>
      <c r="F146" s="189" t="s">
        <v>8</v>
      </c>
      <c r="G146" s="189" t="s">
        <v>10</v>
      </c>
      <c r="H146" s="36" t="str">
        <f t="shared" si="4"/>
        <v>Horticulture|TRUE|600to700|DrainedAr</v>
      </c>
      <c r="I146" s="133">
        <v>0.31442646171193694</v>
      </c>
      <c r="J146" s="133">
        <v>15.460360954110936</v>
      </c>
      <c r="K146" s="36" t="str">
        <f t="shared" si="3"/>
        <v>Horticulture|600to700</v>
      </c>
      <c r="L146" s="195"/>
      <c r="M146" s="195"/>
      <c r="N146" s="50"/>
      <c r="O146" s="37"/>
      <c r="P146" s="138"/>
    </row>
    <row r="147" spans="2:16" x14ac:dyDescent="0.25">
      <c r="B147" s="137"/>
      <c r="C147" s="189" t="s">
        <v>223</v>
      </c>
      <c r="D147" s="189" t="s">
        <v>32</v>
      </c>
      <c r="E147" s="189" t="b">
        <v>0</v>
      </c>
      <c r="F147" s="189" t="s">
        <v>8</v>
      </c>
      <c r="G147" s="189" t="s">
        <v>11</v>
      </c>
      <c r="H147" s="36" t="str">
        <f t="shared" si="4"/>
        <v>Horticulture|FALSE|600to700|DrainedArGr</v>
      </c>
      <c r="I147" s="133">
        <v>0.5327461421969053</v>
      </c>
      <c r="J147" s="133">
        <v>16.001060036987361</v>
      </c>
      <c r="K147" s="36" t="str">
        <f t="shared" si="3"/>
        <v>Horticulture|600to700</v>
      </c>
      <c r="L147" s="195"/>
      <c r="M147" s="195"/>
      <c r="N147" s="50"/>
      <c r="O147" s="37"/>
      <c r="P147" s="138"/>
    </row>
    <row r="148" spans="2:16" x14ac:dyDescent="0.25">
      <c r="B148" s="137"/>
      <c r="C148" s="189" t="s">
        <v>223</v>
      </c>
      <c r="D148" s="189" t="s">
        <v>32</v>
      </c>
      <c r="E148" s="189" t="b">
        <v>1</v>
      </c>
      <c r="F148" s="189" t="s">
        <v>8</v>
      </c>
      <c r="G148" s="189" t="s">
        <v>11</v>
      </c>
      <c r="H148" s="36" t="str">
        <f t="shared" si="4"/>
        <v>Horticulture|TRUE|600to700|DrainedArGr</v>
      </c>
      <c r="I148" s="133">
        <v>0.5327461421969053</v>
      </c>
      <c r="J148" s="133">
        <v>15.965927412857395</v>
      </c>
      <c r="K148" s="36" t="str">
        <f t="shared" si="3"/>
        <v>Horticulture|600to700</v>
      </c>
      <c r="L148" s="195"/>
      <c r="M148" s="195"/>
      <c r="N148" s="50"/>
      <c r="O148" s="37"/>
      <c r="P148" s="138"/>
    </row>
    <row r="149" spans="2:16" x14ac:dyDescent="0.25">
      <c r="B149" s="137"/>
      <c r="C149" s="189" t="s">
        <v>223</v>
      </c>
      <c r="D149" s="189" t="s">
        <v>32</v>
      </c>
      <c r="E149" s="189" t="b">
        <v>1</v>
      </c>
      <c r="F149" s="189" t="s">
        <v>12</v>
      </c>
      <c r="G149" s="189" t="s">
        <v>9</v>
      </c>
      <c r="H149" s="36" t="str">
        <f t="shared" si="4"/>
        <v>Horticulture|TRUE|700to900|FreeDrain</v>
      </c>
      <c r="I149" s="133">
        <v>0.15485935515476945</v>
      </c>
      <c r="J149" s="133">
        <v>26.186212050207249</v>
      </c>
      <c r="K149" s="36" t="str">
        <f t="shared" si="3"/>
        <v>Horticulture|700to900</v>
      </c>
      <c r="L149" s="203">
        <v>0.57774437210414542</v>
      </c>
      <c r="M149" s="203">
        <v>20.821898395198744</v>
      </c>
      <c r="N149" s="50"/>
      <c r="O149" s="37"/>
      <c r="P149" s="138"/>
    </row>
    <row r="150" spans="2:16" x14ac:dyDescent="0.25">
      <c r="B150" s="137"/>
      <c r="C150" s="189" t="s">
        <v>223</v>
      </c>
      <c r="D150" s="189" t="s">
        <v>32</v>
      </c>
      <c r="E150" s="189" t="b">
        <v>0</v>
      </c>
      <c r="F150" s="189" t="s">
        <v>12</v>
      </c>
      <c r="G150" s="189" t="s">
        <v>10</v>
      </c>
      <c r="H150" s="36" t="str">
        <f t="shared" si="4"/>
        <v>Horticulture|FALSE|700to900|DrainedAr</v>
      </c>
      <c r="I150" s="133">
        <v>0.66020664387170536</v>
      </c>
      <c r="J150" s="133">
        <v>19.128196997090214</v>
      </c>
      <c r="K150" s="36" t="str">
        <f t="shared" si="3"/>
        <v>Horticulture|700to900</v>
      </c>
      <c r="L150" s="195"/>
      <c r="M150" s="195"/>
      <c r="N150" s="50"/>
      <c r="O150" s="37"/>
      <c r="P150" s="138"/>
    </row>
    <row r="151" spans="2:16" x14ac:dyDescent="0.25">
      <c r="B151" s="137"/>
      <c r="C151" s="189" t="s">
        <v>223</v>
      </c>
      <c r="D151" s="189" t="s">
        <v>32</v>
      </c>
      <c r="E151" s="189" t="b">
        <v>1</v>
      </c>
      <c r="F151" s="189" t="s">
        <v>12</v>
      </c>
      <c r="G151" s="189" t="s">
        <v>10</v>
      </c>
      <c r="H151" s="36" t="str">
        <f t="shared" si="4"/>
        <v>Horticulture|TRUE|700to900|DrainedAr</v>
      </c>
      <c r="I151" s="133">
        <v>0.66020664387170536</v>
      </c>
      <c r="J151" s="133">
        <v>19.084069522600871</v>
      </c>
      <c r="K151" s="36" t="str">
        <f t="shared" si="3"/>
        <v>Horticulture|700to900</v>
      </c>
      <c r="L151" s="195"/>
      <c r="M151" s="195"/>
      <c r="N151" s="50"/>
      <c r="O151" s="37"/>
      <c r="P151" s="138"/>
    </row>
    <row r="152" spans="2:16" x14ac:dyDescent="0.25">
      <c r="B152" s="137"/>
      <c r="C152" s="189" t="s">
        <v>223</v>
      </c>
      <c r="D152" s="189" t="s">
        <v>32</v>
      </c>
      <c r="E152" s="189" t="b">
        <v>0</v>
      </c>
      <c r="F152" s="189" t="s">
        <v>12</v>
      </c>
      <c r="G152" s="189" t="s">
        <v>11</v>
      </c>
      <c r="H152" s="36" t="str">
        <f t="shared" si="4"/>
        <v>Horticulture|FALSE|700to900|DrainedArGr</v>
      </c>
      <c r="I152" s="133">
        <v>0.91816711728596134</v>
      </c>
      <c r="J152" s="133">
        <v>17.151286138298776</v>
      </c>
      <c r="K152" s="36" t="str">
        <f t="shared" si="3"/>
        <v>Horticulture|700to900</v>
      </c>
      <c r="L152" s="195"/>
      <c r="M152" s="195"/>
      <c r="N152" s="50"/>
      <c r="O152" s="37"/>
      <c r="P152" s="138"/>
    </row>
    <row r="153" spans="2:16" x14ac:dyDescent="0.25">
      <c r="B153" s="137"/>
      <c r="C153" s="189" t="s">
        <v>223</v>
      </c>
      <c r="D153" s="189" t="s">
        <v>32</v>
      </c>
      <c r="E153" s="189" t="b">
        <v>1</v>
      </c>
      <c r="F153" s="189" t="s">
        <v>12</v>
      </c>
      <c r="G153" s="189" t="s">
        <v>11</v>
      </c>
      <c r="H153" s="36" t="str">
        <f t="shared" si="4"/>
        <v>Horticulture|TRUE|700to900|DrainedArGr</v>
      </c>
      <c r="I153" s="133">
        <v>0.91816711728596134</v>
      </c>
      <c r="J153" s="133">
        <v>17.11599309824188</v>
      </c>
      <c r="K153" s="36" t="str">
        <f t="shared" si="3"/>
        <v>Horticulture|700to900</v>
      </c>
      <c r="L153" s="195"/>
      <c r="M153" s="195"/>
      <c r="N153" s="50"/>
      <c r="O153" s="37"/>
      <c r="P153" s="138"/>
    </row>
    <row r="154" spans="2:16" x14ac:dyDescent="0.25">
      <c r="B154" s="137"/>
      <c r="C154" s="189" t="s">
        <v>223</v>
      </c>
      <c r="D154" s="189" t="s">
        <v>42</v>
      </c>
      <c r="E154" s="189" t="b">
        <v>0</v>
      </c>
      <c r="F154" s="189" t="s">
        <v>8</v>
      </c>
      <c r="G154" s="189" t="s">
        <v>9</v>
      </c>
      <c r="H154" s="36" t="str">
        <f t="shared" si="4"/>
        <v>Pig|FALSE|600to700|FreeDrain</v>
      </c>
      <c r="I154" s="133">
        <v>9.6969708499628951E-2</v>
      </c>
      <c r="J154" s="133">
        <v>125.43903480511381</v>
      </c>
      <c r="K154" s="36" t="str">
        <f t="shared" si="3"/>
        <v>Pig|600to700</v>
      </c>
      <c r="L154" s="203">
        <v>0.39928040810940457</v>
      </c>
      <c r="M154" s="203">
        <v>95.825085660381021</v>
      </c>
      <c r="N154" s="50"/>
      <c r="O154" s="37"/>
      <c r="P154" s="138"/>
    </row>
    <row r="155" spans="2:16" x14ac:dyDescent="0.25">
      <c r="B155" s="137"/>
      <c r="C155" s="189" t="s">
        <v>223</v>
      </c>
      <c r="D155" s="189" t="s">
        <v>42</v>
      </c>
      <c r="E155" s="189" t="b">
        <v>1</v>
      </c>
      <c r="F155" s="189" t="s">
        <v>8</v>
      </c>
      <c r="G155" s="189" t="s">
        <v>9</v>
      </c>
      <c r="H155" s="36" t="str">
        <f t="shared" si="4"/>
        <v>Pig|TRUE|600to700|FreeDrain</v>
      </c>
      <c r="I155" s="133">
        <v>9.2413837110535371E-2</v>
      </c>
      <c r="J155" s="133">
        <v>125.95713807539211</v>
      </c>
      <c r="K155" s="36" t="str">
        <f t="shared" si="3"/>
        <v>Pig|600to700</v>
      </c>
      <c r="L155" s="195"/>
      <c r="M155" s="195"/>
      <c r="N155" s="50"/>
      <c r="O155" s="37"/>
      <c r="P155" s="138"/>
    </row>
    <row r="156" spans="2:16" x14ac:dyDescent="0.25">
      <c r="B156" s="137"/>
      <c r="C156" s="189" t="s">
        <v>223</v>
      </c>
      <c r="D156" s="189" t="s">
        <v>42</v>
      </c>
      <c r="E156" s="189" t="b">
        <v>0</v>
      </c>
      <c r="F156" s="189" t="s">
        <v>8</v>
      </c>
      <c r="G156" s="189" t="s">
        <v>10</v>
      </c>
      <c r="H156" s="36" t="str">
        <f t="shared" si="4"/>
        <v>Pig|FALSE|600to700|DrainedAr</v>
      </c>
      <c r="I156" s="133">
        <v>0.42428928122617654</v>
      </c>
      <c r="J156" s="133">
        <v>82.656763157871538</v>
      </c>
      <c r="K156" s="36" t="str">
        <f t="shared" si="3"/>
        <v>Pig|600to700</v>
      </c>
      <c r="L156" s="195"/>
      <c r="M156" s="195"/>
      <c r="N156" s="50"/>
      <c r="O156" s="37"/>
      <c r="P156" s="138"/>
    </row>
    <row r="157" spans="2:16" x14ac:dyDescent="0.25">
      <c r="B157" s="137"/>
      <c r="C157" s="189" t="s">
        <v>223</v>
      </c>
      <c r="D157" s="189" t="s">
        <v>42</v>
      </c>
      <c r="E157" s="189" t="b">
        <v>1</v>
      </c>
      <c r="F157" s="189" t="s">
        <v>8</v>
      </c>
      <c r="G157" s="189" t="s">
        <v>10</v>
      </c>
      <c r="H157" s="36" t="str">
        <f t="shared" si="4"/>
        <v>Pig|TRUE|600to700|DrainedAr</v>
      </c>
      <c r="I157" s="133">
        <v>0.38431525653929649</v>
      </c>
      <c r="J157" s="133">
        <v>79.559096513400618</v>
      </c>
      <c r="K157" s="36" t="str">
        <f t="shared" si="3"/>
        <v>Pig|600to700</v>
      </c>
      <c r="L157" s="195"/>
      <c r="M157" s="195"/>
      <c r="N157" s="50"/>
      <c r="O157" s="37"/>
      <c r="P157" s="138"/>
    </row>
    <row r="158" spans="2:16" x14ac:dyDescent="0.25">
      <c r="B158" s="137"/>
      <c r="C158" s="189" t="s">
        <v>223</v>
      </c>
      <c r="D158" s="189" t="s">
        <v>42</v>
      </c>
      <c r="E158" s="189" t="b">
        <v>0</v>
      </c>
      <c r="F158" s="189" t="s">
        <v>8</v>
      </c>
      <c r="G158" s="189" t="s">
        <v>11</v>
      </c>
      <c r="H158" s="36" t="str">
        <f t="shared" si="4"/>
        <v>Pig|FALSE|600to700|DrainedArGr</v>
      </c>
      <c r="I158" s="133">
        <v>0.67658223460240829</v>
      </c>
      <c r="J158" s="133">
        <v>79.379459018157746</v>
      </c>
      <c r="K158" s="36" t="str">
        <f t="shared" si="3"/>
        <v>Pig|600to700</v>
      </c>
      <c r="L158" s="195"/>
      <c r="M158" s="195"/>
      <c r="N158" s="50"/>
      <c r="O158" s="37"/>
      <c r="P158" s="138"/>
    </row>
    <row r="159" spans="2:16" x14ac:dyDescent="0.25">
      <c r="B159" s="137"/>
      <c r="C159" s="189" t="s">
        <v>223</v>
      </c>
      <c r="D159" s="189" t="s">
        <v>42</v>
      </c>
      <c r="E159" s="189" t="b">
        <v>1</v>
      </c>
      <c r="F159" s="189" t="s">
        <v>8</v>
      </c>
      <c r="G159" s="189" t="s">
        <v>11</v>
      </c>
      <c r="H159" s="36" t="str">
        <f t="shared" si="4"/>
        <v>Pig|TRUE|600to700|DrainedArGr</v>
      </c>
      <c r="I159" s="133">
        <v>0.61844677640115064</v>
      </c>
      <c r="J159" s="133">
        <v>74.679582555530487</v>
      </c>
      <c r="K159" s="36" t="str">
        <f t="shared" si="3"/>
        <v>Pig|600to700</v>
      </c>
      <c r="L159" s="195"/>
      <c r="M159" s="195"/>
      <c r="N159" s="50"/>
      <c r="O159" s="37"/>
      <c r="P159" s="138"/>
    </row>
    <row r="160" spans="2:16" x14ac:dyDescent="0.25">
      <c r="B160" s="137"/>
      <c r="C160" s="189" t="s">
        <v>223</v>
      </c>
      <c r="D160" s="189" t="s">
        <v>42</v>
      </c>
      <c r="E160" s="189" t="b">
        <v>1</v>
      </c>
      <c r="F160" s="189" t="s">
        <v>12</v>
      </c>
      <c r="G160" s="189" t="s">
        <v>9</v>
      </c>
      <c r="H160" s="36" t="str">
        <f t="shared" si="4"/>
        <v>Pig|TRUE|700to900|FreeDrain</v>
      </c>
      <c r="I160" s="133">
        <v>0.23061844066467541</v>
      </c>
      <c r="J160" s="133">
        <v>147.89606875570908</v>
      </c>
      <c r="K160" s="36" t="str">
        <f t="shared" si="3"/>
        <v>Pig|700to900</v>
      </c>
      <c r="L160" s="203">
        <v>0.72542647774086222</v>
      </c>
      <c r="M160" s="203">
        <v>112.05736676430149</v>
      </c>
      <c r="N160" s="50"/>
      <c r="O160" s="37"/>
      <c r="P160" s="138"/>
    </row>
    <row r="161" spans="2:16" x14ac:dyDescent="0.25">
      <c r="B161" s="137"/>
      <c r="C161" s="189" t="s">
        <v>223</v>
      </c>
      <c r="D161" s="189" t="s">
        <v>42</v>
      </c>
      <c r="E161" s="189" t="b">
        <v>0</v>
      </c>
      <c r="F161" s="189" t="s">
        <v>12</v>
      </c>
      <c r="G161" s="189" t="s">
        <v>10</v>
      </c>
      <c r="H161" s="36" t="str">
        <f t="shared" si="4"/>
        <v>Pig|FALSE|700to900|DrainedAr</v>
      </c>
      <c r="I161" s="133">
        <v>0.82205532078489252</v>
      </c>
      <c r="J161" s="133">
        <v>101.80215885805723</v>
      </c>
      <c r="K161" s="36" t="str">
        <f t="shared" si="3"/>
        <v>Pig|700to900</v>
      </c>
      <c r="L161" s="195"/>
      <c r="M161" s="195"/>
      <c r="N161" s="50"/>
      <c r="O161" s="37"/>
      <c r="P161" s="138"/>
    </row>
    <row r="162" spans="2:16" x14ac:dyDescent="0.25">
      <c r="B162" s="137"/>
      <c r="C162" s="189" t="s">
        <v>223</v>
      </c>
      <c r="D162" s="189" t="s">
        <v>42</v>
      </c>
      <c r="E162" s="189" t="b">
        <v>1</v>
      </c>
      <c r="F162" s="189" t="s">
        <v>12</v>
      </c>
      <c r="G162" s="189" t="s">
        <v>10</v>
      </c>
      <c r="H162" s="36" t="str">
        <f t="shared" si="4"/>
        <v>Pig|TRUE|700to900|DrainedAr</v>
      </c>
      <c r="I162" s="133">
        <v>0.77423886513603679</v>
      </c>
      <c r="J162" s="133">
        <v>97.809819565851697</v>
      </c>
      <c r="K162" s="36" t="str">
        <f t="shared" si="3"/>
        <v>Pig|700to900</v>
      </c>
      <c r="L162" s="195"/>
      <c r="M162" s="195"/>
      <c r="N162" s="50"/>
      <c r="O162" s="37"/>
      <c r="P162" s="138"/>
    </row>
    <row r="163" spans="2:16" x14ac:dyDescent="0.25">
      <c r="B163" s="137"/>
      <c r="C163" s="189" t="s">
        <v>223</v>
      </c>
      <c r="D163" s="189" t="s">
        <v>42</v>
      </c>
      <c r="E163" s="189" t="b">
        <v>0</v>
      </c>
      <c r="F163" s="189" t="s">
        <v>12</v>
      </c>
      <c r="G163" s="189" t="s">
        <v>11</v>
      </c>
      <c r="H163" s="36" t="str">
        <f t="shared" si="4"/>
        <v>Pig|FALSE|700to900|DrainedArGr</v>
      </c>
      <c r="I163" s="133">
        <v>1.1236056717730187</v>
      </c>
      <c r="J163" s="133">
        <v>86.473872679138182</v>
      </c>
      <c r="K163" s="36" t="str">
        <f t="shared" si="3"/>
        <v>Pig|700to900</v>
      </c>
      <c r="L163" s="195"/>
      <c r="M163" s="195"/>
      <c r="N163" s="50"/>
      <c r="O163" s="37"/>
      <c r="P163" s="138"/>
    </row>
    <row r="164" spans="2:16" x14ac:dyDescent="0.25">
      <c r="B164" s="137"/>
      <c r="C164" s="189" t="s">
        <v>223</v>
      </c>
      <c r="D164" s="189" t="s">
        <v>42</v>
      </c>
      <c r="E164" s="189" t="b">
        <v>1</v>
      </c>
      <c r="F164" s="189" t="s">
        <v>12</v>
      </c>
      <c r="G164" s="189" t="s">
        <v>11</v>
      </c>
      <c r="H164" s="36" t="str">
        <f t="shared" si="4"/>
        <v>Pig|TRUE|700to900|DrainedArGr</v>
      </c>
      <c r="I164" s="133">
        <v>1.0556420537443791</v>
      </c>
      <c r="J164" s="133">
        <v>80.355890168406731</v>
      </c>
      <c r="K164" s="36" t="str">
        <f t="shared" si="3"/>
        <v>Pig|700to900</v>
      </c>
      <c r="L164" s="195"/>
      <c r="M164" s="195"/>
      <c r="N164" s="50"/>
      <c r="O164" s="37"/>
      <c r="P164" s="138"/>
    </row>
    <row r="165" spans="2:16" x14ac:dyDescent="0.25">
      <c r="B165" s="137"/>
      <c r="C165" s="189" t="s">
        <v>223</v>
      </c>
      <c r="D165" s="189" t="s">
        <v>47</v>
      </c>
      <c r="E165" s="189" t="b">
        <v>0</v>
      </c>
      <c r="F165" s="189" t="s">
        <v>8</v>
      </c>
      <c r="G165" s="189" t="s">
        <v>9</v>
      </c>
      <c r="H165" s="36" t="str">
        <f t="shared" si="4"/>
        <v>Poultry|FALSE|600to700|FreeDrain</v>
      </c>
      <c r="I165" s="133">
        <v>0.17506950079083972</v>
      </c>
      <c r="J165" s="133">
        <v>243.02797893132748</v>
      </c>
      <c r="K165" s="36" t="str">
        <f t="shared" si="3"/>
        <v>Poultry|600to700</v>
      </c>
      <c r="L165" s="203">
        <v>0.45286089377140576</v>
      </c>
      <c r="M165" s="203">
        <v>182.63827410342955</v>
      </c>
      <c r="N165" s="50"/>
      <c r="O165" s="37"/>
      <c r="P165" s="138"/>
    </row>
    <row r="166" spans="2:16" x14ac:dyDescent="0.25">
      <c r="B166" s="137"/>
      <c r="C166" s="189" t="s">
        <v>223</v>
      </c>
      <c r="D166" s="189" t="s">
        <v>47</v>
      </c>
      <c r="E166" s="189" t="b">
        <v>1</v>
      </c>
      <c r="F166" s="189" t="s">
        <v>8</v>
      </c>
      <c r="G166" s="189" t="s">
        <v>9</v>
      </c>
      <c r="H166" s="36" t="str">
        <f t="shared" si="4"/>
        <v>Poultry|TRUE|600to700|FreeDrain</v>
      </c>
      <c r="I166" s="133">
        <v>0.16955585041499333</v>
      </c>
      <c r="J166" s="133">
        <v>244.3005797163319</v>
      </c>
      <c r="K166" s="36" t="str">
        <f t="shared" si="3"/>
        <v>Poultry|600to700</v>
      </c>
      <c r="L166" s="195"/>
      <c r="M166" s="195"/>
      <c r="N166" s="50"/>
      <c r="O166" s="37"/>
      <c r="P166" s="138"/>
    </row>
    <row r="167" spans="2:16" x14ac:dyDescent="0.25">
      <c r="B167" s="137"/>
      <c r="C167" s="189" t="s">
        <v>223</v>
      </c>
      <c r="D167" s="189" t="s">
        <v>47</v>
      </c>
      <c r="E167" s="189" t="b">
        <v>0</v>
      </c>
      <c r="F167" s="189" t="s">
        <v>8</v>
      </c>
      <c r="G167" s="189" t="s">
        <v>10</v>
      </c>
      <c r="H167" s="36" t="str">
        <f t="shared" si="4"/>
        <v>Poultry|FALSE|600to700|DrainedAr</v>
      </c>
      <c r="I167" s="133">
        <v>0.43249963450016371</v>
      </c>
      <c r="J167" s="133">
        <v>157.4770943636982</v>
      </c>
      <c r="K167" s="36" t="str">
        <f t="shared" si="3"/>
        <v>Poultry|600to700</v>
      </c>
      <c r="L167" s="195"/>
      <c r="M167" s="195"/>
      <c r="N167" s="50"/>
      <c r="O167" s="37"/>
      <c r="P167" s="138"/>
    </row>
    <row r="168" spans="2:16" x14ac:dyDescent="0.25">
      <c r="B168" s="137"/>
      <c r="C168" s="189" t="s">
        <v>223</v>
      </c>
      <c r="D168" s="189" t="s">
        <v>47</v>
      </c>
      <c r="E168" s="189" t="b">
        <v>1</v>
      </c>
      <c r="F168" s="189" t="s">
        <v>8</v>
      </c>
      <c r="G168" s="189" t="s">
        <v>10</v>
      </c>
      <c r="H168" s="36" t="str">
        <f t="shared" si="4"/>
        <v>Poultry|TRUE|600to700|DrainedAr</v>
      </c>
      <c r="I168" s="133">
        <v>0.4008357066957457</v>
      </c>
      <c r="J168" s="133">
        <v>151.25633036931544</v>
      </c>
      <c r="K168" s="36" t="str">
        <f t="shared" si="3"/>
        <v>Poultry|600to700</v>
      </c>
      <c r="L168" s="195"/>
      <c r="M168" s="195"/>
      <c r="N168" s="50"/>
      <c r="O168" s="37"/>
      <c r="P168" s="138"/>
    </row>
    <row r="169" spans="2:16" x14ac:dyDescent="0.25">
      <c r="B169" s="137"/>
      <c r="C169" s="189" t="s">
        <v>223</v>
      </c>
      <c r="D169" s="189" t="s">
        <v>47</v>
      </c>
      <c r="E169" s="189" t="b">
        <v>0</v>
      </c>
      <c r="F169" s="189" t="s">
        <v>8</v>
      </c>
      <c r="G169" s="189" t="s">
        <v>11</v>
      </c>
      <c r="H169" s="36" t="str">
        <f t="shared" si="4"/>
        <v>Poultry|FALSE|600to700|DrainedArGr</v>
      </c>
      <c r="I169" s="133">
        <v>0.75101354602321391</v>
      </c>
      <c r="J169" s="133">
        <v>147.40974901526289</v>
      </c>
      <c r="K169" s="36" t="str">
        <f t="shared" si="3"/>
        <v>Poultry|600to700</v>
      </c>
      <c r="L169" s="195"/>
      <c r="M169" s="195"/>
      <c r="N169" s="50"/>
      <c r="O169" s="37"/>
      <c r="P169" s="138"/>
    </row>
    <row r="170" spans="2:16" x14ac:dyDescent="0.25">
      <c r="B170" s="137"/>
      <c r="C170" s="189" t="s">
        <v>223</v>
      </c>
      <c r="D170" s="189" t="s">
        <v>47</v>
      </c>
      <c r="E170" s="189" t="b">
        <v>1</v>
      </c>
      <c r="F170" s="189" t="s">
        <v>8</v>
      </c>
      <c r="G170" s="189" t="s">
        <v>11</v>
      </c>
      <c r="H170" s="36" t="str">
        <f t="shared" si="4"/>
        <v>Poultry|TRUE|600to700|DrainedArGr</v>
      </c>
      <c r="I170" s="133">
        <v>0.70757099267580759</v>
      </c>
      <c r="J170" s="133">
        <v>138.11303624046081</v>
      </c>
      <c r="K170" s="36" t="str">
        <f t="shared" ref="K170:K233" si="5">D170&amp;"|"&amp;F170</f>
        <v>Poultry|600to700</v>
      </c>
      <c r="L170" s="195"/>
      <c r="M170" s="195"/>
      <c r="N170" s="50"/>
      <c r="O170" s="37"/>
      <c r="P170" s="138"/>
    </row>
    <row r="171" spans="2:16" x14ac:dyDescent="0.25">
      <c r="B171" s="137"/>
      <c r="C171" s="189" t="s">
        <v>223</v>
      </c>
      <c r="D171" s="189" t="s">
        <v>47</v>
      </c>
      <c r="E171" s="189" t="b">
        <v>1</v>
      </c>
      <c r="F171" s="189" t="s">
        <v>12</v>
      </c>
      <c r="G171" s="189" t="s">
        <v>9</v>
      </c>
      <c r="H171" s="36" t="str">
        <f t="shared" si="4"/>
        <v>Poultry|TRUE|700to900|FreeDrain</v>
      </c>
      <c r="I171" s="133">
        <v>0.3652024993944144</v>
      </c>
      <c r="J171" s="133">
        <v>287.23049226905482</v>
      </c>
      <c r="K171" s="36" t="str">
        <f t="shared" si="5"/>
        <v>Poultry|700to900</v>
      </c>
      <c r="L171" s="203">
        <v>0.82344040128685858</v>
      </c>
      <c r="M171" s="203">
        <v>214.26589462529159</v>
      </c>
      <c r="N171" s="50"/>
      <c r="O171" s="37"/>
      <c r="P171" s="138"/>
    </row>
    <row r="172" spans="2:16" x14ac:dyDescent="0.25">
      <c r="B172" s="137"/>
      <c r="C172" s="189" t="s">
        <v>223</v>
      </c>
      <c r="D172" s="189" t="s">
        <v>47</v>
      </c>
      <c r="E172" s="189" t="b">
        <v>0</v>
      </c>
      <c r="F172" s="189" t="s">
        <v>12</v>
      </c>
      <c r="G172" s="189" t="s">
        <v>10</v>
      </c>
      <c r="H172" s="36" t="str">
        <f t="shared" si="4"/>
        <v>Poultry|FALSE|700to900|DrainedAr</v>
      </c>
      <c r="I172" s="133">
        <v>0.84654672919283169</v>
      </c>
      <c r="J172" s="133">
        <v>195.02956128141156</v>
      </c>
      <c r="K172" s="36" t="str">
        <f t="shared" si="5"/>
        <v>Poultry|700to900</v>
      </c>
      <c r="L172" s="195"/>
      <c r="M172" s="195"/>
      <c r="N172" s="50"/>
      <c r="O172" s="37"/>
      <c r="P172" s="138"/>
    </row>
    <row r="173" spans="2:16" x14ac:dyDescent="0.25">
      <c r="B173" s="137"/>
      <c r="C173" s="189" t="s">
        <v>223</v>
      </c>
      <c r="D173" s="189" t="s">
        <v>47</v>
      </c>
      <c r="E173" s="189" t="b">
        <v>1</v>
      </c>
      <c r="F173" s="189" t="s">
        <v>12</v>
      </c>
      <c r="G173" s="189" t="s">
        <v>10</v>
      </c>
      <c r="H173" s="36" t="str">
        <f t="shared" si="4"/>
        <v>Poultry|TRUE|700to900|DrainedAr</v>
      </c>
      <c r="I173" s="133">
        <v>0.80033229835342556</v>
      </c>
      <c r="J173" s="133">
        <v>187.03490469131836</v>
      </c>
      <c r="K173" s="36" t="str">
        <f t="shared" si="5"/>
        <v>Poultry|700to900</v>
      </c>
      <c r="L173" s="195"/>
      <c r="M173" s="195"/>
      <c r="N173" s="50"/>
      <c r="O173" s="37"/>
      <c r="P173" s="138"/>
    </row>
    <row r="174" spans="2:16" x14ac:dyDescent="0.25">
      <c r="B174" s="137"/>
      <c r="C174" s="189" t="s">
        <v>223</v>
      </c>
      <c r="D174" s="189" t="s">
        <v>47</v>
      </c>
      <c r="E174" s="189" t="b">
        <v>0</v>
      </c>
      <c r="F174" s="189" t="s">
        <v>12</v>
      </c>
      <c r="G174" s="189" t="s">
        <v>11</v>
      </c>
      <c r="H174" s="36" t="str">
        <f t="shared" si="4"/>
        <v>Poultry|FALSE|700to900|DrainedArGr</v>
      </c>
      <c r="I174" s="133">
        <v>1.2585719752733295</v>
      </c>
      <c r="J174" s="133">
        <v>160.53763032540837</v>
      </c>
      <c r="K174" s="36" t="str">
        <f t="shared" si="5"/>
        <v>Poultry|700to900</v>
      </c>
      <c r="L174" s="195"/>
      <c r="M174" s="195"/>
      <c r="N174" s="50"/>
      <c r="O174" s="37"/>
      <c r="P174" s="138"/>
    </row>
    <row r="175" spans="2:16" x14ac:dyDescent="0.25">
      <c r="B175" s="137"/>
      <c r="C175" s="189" t="s">
        <v>223</v>
      </c>
      <c r="D175" s="189" t="s">
        <v>47</v>
      </c>
      <c r="E175" s="189" t="b">
        <v>1</v>
      </c>
      <c r="F175" s="189" t="s">
        <v>12</v>
      </c>
      <c r="G175" s="189" t="s">
        <v>11</v>
      </c>
      <c r="H175" s="36" t="str">
        <f t="shared" si="4"/>
        <v>Poultry|TRUE|700to900|DrainedArGr</v>
      </c>
      <c r="I175" s="133">
        <v>1.1957716881029843</v>
      </c>
      <c r="J175" s="133">
        <v>148.52662184728396</v>
      </c>
      <c r="K175" s="36" t="str">
        <f t="shared" si="5"/>
        <v>Poultry|700to900</v>
      </c>
      <c r="L175" s="195"/>
      <c r="M175" s="195"/>
      <c r="N175" s="50"/>
      <c r="O175" s="37"/>
      <c r="P175" s="138"/>
    </row>
    <row r="176" spans="2:16" x14ac:dyDescent="0.25">
      <c r="B176" s="137"/>
      <c r="C176" s="189" t="s">
        <v>223</v>
      </c>
      <c r="D176" s="189" t="s">
        <v>55</v>
      </c>
      <c r="E176" s="189" t="b">
        <v>1</v>
      </c>
      <c r="F176" s="189" t="s">
        <v>8</v>
      </c>
      <c r="G176" s="189" t="s">
        <v>9</v>
      </c>
      <c r="H176" s="36" t="str">
        <f t="shared" si="4"/>
        <v>Dairy|TRUE|600to700|FreeDrain</v>
      </c>
      <c r="I176" s="133">
        <v>0.13977191349042906</v>
      </c>
      <c r="J176" s="133">
        <v>35.87048767975147</v>
      </c>
      <c r="K176" s="36" t="str">
        <f t="shared" si="5"/>
        <v>Dairy|600to700</v>
      </c>
      <c r="L176" s="203">
        <v>0.44264048084458979</v>
      </c>
      <c r="M176" s="203">
        <v>26.550402725678811</v>
      </c>
      <c r="N176" s="50"/>
      <c r="O176" s="37"/>
      <c r="P176" s="138"/>
    </row>
    <row r="177" spans="2:16" x14ac:dyDescent="0.25">
      <c r="B177" s="137"/>
      <c r="C177" s="189" t="s">
        <v>223</v>
      </c>
      <c r="D177" s="189" t="s">
        <v>55</v>
      </c>
      <c r="E177" s="189" t="b">
        <v>0</v>
      </c>
      <c r="F177" s="189" t="s">
        <v>8</v>
      </c>
      <c r="G177" s="189" t="s">
        <v>10</v>
      </c>
      <c r="H177" s="36" t="str">
        <f t="shared" si="4"/>
        <v>Dairy|FALSE|600to700|DrainedAr</v>
      </c>
      <c r="I177" s="133">
        <v>0.28342886312456061</v>
      </c>
      <c r="J177" s="133">
        <v>24.349378790611546</v>
      </c>
      <c r="K177" s="36" t="str">
        <f t="shared" si="5"/>
        <v>Dairy|600to700</v>
      </c>
      <c r="L177" s="195"/>
      <c r="M177" s="195"/>
      <c r="N177" s="50"/>
      <c r="O177" s="37"/>
      <c r="P177" s="138"/>
    </row>
    <row r="178" spans="2:16" x14ac:dyDescent="0.25">
      <c r="B178" s="137"/>
      <c r="C178" s="189" t="s">
        <v>223</v>
      </c>
      <c r="D178" s="189" t="s">
        <v>55</v>
      </c>
      <c r="E178" s="189" t="b">
        <v>1</v>
      </c>
      <c r="F178" s="189" t="s">
        <v>8</v>
      </c>
      <c r="G178" s="189" t="s">
        <v>10</v>
      </c>
      <c r="H178" s="36" t="str">
        <f t="shared" si="4"/>
        <v>Dairy|TRUE|600to700|DrainedAr</v>
      </c>
      <c r="I178" s="133">
        <v>0.28052427408798419</v>
      </c>
      <c r="J178" s="133">
        <v>24.091171078133755</v>
      </c>
      <c r="K178" s="36" t="str">
        <f t="shared" si="5"/>
        <v>Dairy|600to700</v>
      </c>
      <c r="L178" s="195"/>
      <c r="M178" s="195"/>
      <c r="N178" s="50"/>
      <c r="O178" s="37"/>
      <c r="P178" s="138"/>
    </row>
    <row r="179" spans="2:16" x14ac:dyDescent="0.25">
      <c r="B179" s="137"/>
      <c r="C179" s="189" t="s">
        <v>223</v>
      </c>
      <c r="D179" s="189" t="s">
        <v>55</v>
      </c>
      <c r="E179" s="189" t="b">
        <v>0</v>
      </c>
      <c r="F179" s="189" t="s">
        <v>8</v>
      </c>
      <c r="G179" s="189" t="s">
        <v>11</v>
      </c>
      <c r="H179" s="36" t="str">
        <f t="shared" si="4"/>
        <v>Dairy|FALSE|600to700|DrainedArGr</v>
      </c>
      <c r="I179" s="133">
        <v>0.90472066591877964</v>
      </c>
      <c r="J179" s="133">
        <v>19.431341706673422</v>
      </c>
      <c r="K179" s="36" t="str">
        <f t="shared" si="5"/>
        <v>Dairy|600to700</v>
      </c>
      <c r="L179" s="195"/>
      <c r="M179" s="195"/>
      <c r="N179" s="50"/>
      <c r="O179" s="37"/>
      <c r="P179" s="138"/>
    </row>
    <row r="180" spans="2:16" x14ac:dyDescent="0.25">
      <c r="B180" s="137"/>
      <c r="C180" s="189" t="s">
        <v>223</v>
      </c>
      <c r="D180" s="189" t="s">
        <v>55</v>
      </c>
      <c r="E180" s="189" t="b">
        <v>1</v>
      </c>
      <c r="F180" s="189" t="s">
        <v>8</v>
      </c>
      <c r="G180" s="189" t="s">
        <v>11</v>
      </c>
      <c r="H180" s="36" t="str">
        <f t="shared" si="4"/>
        <v>Dairy|TRUE|600to700|DrainedArGr</v>
      </c>
      <c r="I180" s="133">
        <v>0.87745708676335987</v>
      </c>
      <c r="J180" s="133">
        <v>19.062506533369426</v>
      </c>
      <c r="K180" s="36" t="str">
        <f t="shared" si="5"/>
        <v>Dairy|600to700</v>
      </c>
      <c r="L180" s="195"/>
      <c r="M180" s="195"/>
      <c r="N180" s="50"/>
      <c r="O180" s="37"/>
      <c r="P180" s="138"/>
    </row>
    <row r="181" spans="2:16" x14ac:dyDescent="0.25">
      <c r="B181" s="137"/>
      <c r="C181" s="189" t="s">
        <v>223</v>
      </c>
      <c r="D181" s="189" t="s">
        <v>55</v>
      </c>
      <c r="E181" s="189" t="b">
        <v>1</v>
      </c>
      <c r="F181" s="189" t="s">
        <v>12</v>
      </c>
      <c r="G181" s="189" t="s">
        <v>11</v>
      </c>
      <c r="H181" s="36" t="str">
        <f t="shared" si="4"/>
        <v>Dairy|TRUE|700to900|DrainedArGr</v>
      </c>
      <c r="I181" s="133">
        <v>1.3119508440549619</v>
      </c>
      <c r="J181" s="133">
        <v>22.543863316036074</v>
      </c>
      <c r="K181" s="36" t="str">
        <f t="shared" si="5"/>
        <v>Dairy|700to900</v>
      </c>
      <c r="L181" s="203">
        <v>1.3119508440549619</v>
      </c>
      <c r="M181" s="203">
        <v>22.543863316036074</v>
      </c>
      <c r="N181" s="50"/>
      <c r="O181" s="37"/>
      <c r="P181" s="138"/>
    </row>
    <row r="182" spans="2:16" x14ac:dyDescent="0.25">
      <c r="B182" s="137"/>
      <c r="C182" s="189" t="s">
        <v>223</v>
      </c>
      <c r="D182" s="189" t="s">
        <v>58</v>
      </c>
      <c r="E182" s="189" t="b">
        <v>0</v>
      </c>
      <c r="F182" s="189" t="s">
        <v>8</v>
      </c>
      <c r="G182" s="189" t="s">
        <v>9</v>
      </c>
      <c r="H182" s="36" t="str">
        <f t="shared" ref="H182:H245" si="6">D182&amp;"|"&amp;E182&amp;"|"&amp;F182&amp;"|"&amp;G182</f>
        <v>Lowland|FALSE|600to700|FreeDrain</v>
      </c>
      <c r="I182" s="133">
        <v>9.3136332121087309E-2</v>
      </c>
      <c r="J182" s="133">
        <v>16.419057589967426</v>
      </c>
      <c r="K182" s="36" t="str">
        <f t="shared" si="5"/>
        <v>Lowland|600to700</v>
      </c>
      <c r="L182" s="203">
        <v>0.24675409341776175</v>
      </c>
      <c r="M182" s="203">
        <v>12.431775445420731</v>
      </c>
      <c r="N182" s="50"/>
      <c r="O182" s="37"/>
      <c r="P182" s="138"/>
    </row>
    <row r="183" spans="2:16" x14ac:dyDescent="0.25">
      <c r="B183" s="137"/>
      <c r="C183" s="189" t="s">
        <v>223</v>
      </c>
      <c r="D183" s="189" t="s">
        <v>58</v>
      </c>
      <c r="E183" s="189" t="b">
        <v>1</v>
      </c>
      <c r="F183" s="189" t="s">
        <v>8</v>
      </c>
      <c r="G183" s="189" t="s">
        <v>9</v>
      </c>
      <c r="H183" s="36" t="str">
        <f t="shared" si="6"/>
        <v>Lowland|TRUE|600to700|FreeDrain</v>
      </c>
      <c r="I183" s="133">
        <v>9.3136099290159508E-2</v>
      </c>
      <c r="J183" s="133">
        <v>16.296576358977099</v>
      </c>
      <c r="K183" s="36" t="str">
        <f t="shared" si="5"/>
        <v>Lowland|600to700</v>
      </c>
      <c r="L183" s="195"/>
      <c r="M183" s="195"/>
      <c r="N183" s="50"/>
      <c r="O183" s="37"/>
      <c r="P183" s="138"/>
    </row>
    <row r="184" spans="2:16" x14ac:dyDescent="0.25">
      <c r="B184" s="137"/>
      <c r="C184" s="189" t="s">
        <v>223</v>
      </c>
      <c r="D184" s="189" t="s">
        <v>58</v>
      </c>
      <c r="E184" s="189" t="b">
        <v>0</v>
      </c>
      <c r="F184" s="189" t="s">
        <v>8</v>
      </c>
      <c r="G184" s="189" t="s">
        <v>10</v>
      </c>
      <c r="H184" s="36" t="str">
        <f t="shared" si="6"/>
        <v>Lowland|FALSE|600to700|DrainedAr</v>
      </c>
      <c r="I184" s="133">
        <v>0.14543293135750152</v>
      </c>
      <c r="J184" s="133">
        <v>11.199956953286136</v>
      </c>
      <c r="K184" s="36" t="str">
        <f t="shared" si="5"/>
        <v>Lowland|600to700</v>
      </c>
      <c r="L184" s="195"/>
      <c r="M184" s="195"/>
      <c r="N184" s="50"/>
      <c r="O184" s="37"/>
      <c r="P184" s="138"/>
    </row>
    <row r="185" spans="2:16" x14ac:dyDescent="0.25">
      <c r="B185" s="137"/>
      <c r="C185" s="189" t="s">
        <v>223</v>
      </c>
      <c r="D185" s="189" t="s">
        <v>58</v>
      </c>
      <c r="E185" s="189" t="b">
        <v>1</v>
      </c>
      <c r="F185" s="189" t="s">
        <v>8</v>
      </c>
      <c r="G185" s="189" t="s">
        <v>10</v>
      </c>
      <c r="H185" s="36" t="str">
        <f t="shared" si="6"/>
        <v>Lowland|TRUE|600to700|DrainedAr</v>
      </c>
      <c r="I185" s="133">
        <v>0.14543258019635891</v>
      </c>
      <c r="J185" s="133">
        <v>11.120800080541583</v>
      </c>
      <c r="K185" s="36" t="str">
        <f t="shared" si="5"/>
        <v>Lowland|600to700</v>
      </c>
      <c r="L185" s="195"/>
      <c r="M185" s="195"/>
      <c r="N185" s="50"/>
      <c r="O185" s="37"/>
      <c r="P185" s="138"/>
    </row>
    <row r="186" spans="2:16" x14ac:dyDescent="0.25">
      <c r="B186" s="137"/>
      <c r="C186" s="189" t="s">
        <v>223</v>
      </c>
      <c r="D186" s="189" t="s">
        <v>58</v>
      </c>
      <c r="E186" s="189" t="b">
        <v>0</v>
      </c>
      <c r="F186" s="189" t="s">
        <v>8</v>
      </c>
      <c r="G186" s="189" t="s">
        <v>11</v>
      </c>
      <c r="H186" s="36" t="str">
        <f t="shared" si="6"/>
        <v>Lowland|FALSE|600to700|DrainedArGr</v>
      </c>
      <c r="I186" s="133">
        <v>0.50169301677469647</v>
      </c>
      <c r="J186" s="133">
        <v>9.6763117930086295</v>
      </c>
      <c r="K186" s="36" t="str">
        <f t="shared" si="5"/>
        <v>Lowland|600to700</v>
      </c>
      <c r="L186" s="195"/>
      <c r="M186" s="195"/>
      <c r="N186" s="50"/>
      <c r="O186" s="37"/>
      <c r="P186" s="138"/>
    </row>
    <row r="187" spans="2:16" x14ac:dyDescent="0.25">
      <c r="B187" s="137"/>
      <c r="C187" s="189" t="s">
        <v>223</v>
      </c>
      <c r="D187" s="189" t="s">
        <v>58</v>
      </c>
      <c r="E187" s="189" t="b">
        <v>1</v>
      </c>
      <c r="F187" s="189" t="s">
        <v>8</v>
      </c>
      <c r="G187" s="189" t="s">
        <v>11</v>
      </c>
      <c r="H187" s="36" t="str">
        <f t="shared" si="6"/>
        <v>Lowland|TRUE|600to700|DrainedArGr</v>
      </c>
      <c r="I187" s="133">
        <v>0.50166014091620637</v>
      </c>
      <c r="J187" s="133">
        <v>9.6487446959599641</v>
      </c>
      <c r="K187" s="36" t="str">
        <f t="shared" si="5"/>
        <v>Lowland|600to700</v>
      </c>
      <c r="L187" s="195"/>
      <c r="M187" s="195"/>
      <c r="N187" s="50"/>
      <c r="O187" s="37"/>
      <c r="P187" s="138"/>
    </row>
    <row r="188" spans="2:16" x14ac:dyDescent="0.25">
      <c r="B188" s="137"/>
      <c r="C188" s="189" t="s">
        <v>223</v>
      </c>
      <c r="D188" s="189" t="s">
        <v>58</v>
      </c>
      <c r="E188" s="189" t="b">
        <v>1</v>
      </c>
      <c r="F188" s="189" t="s">
        <v>12</v>
      </c>
      <c r="G188" s="189" t="s">
        <v>9</v>
      </c>
      <c r="H188" s="36" t="str">
        <f t="shared" si="6"/>
        <v>Lowland|TRUE|700to900|FreeDrain</v>
      </c>
      <c r="I188" s="133">
        <v>0.15627312053577599</v>
      </c>
      <c r="J188" s="133">
        <v>22.387648706618574</v>
      </c>
      <c r="K188" s="36" t="str">
        <f t="shared" si="5"/>
        <v>Lowland|700to900</v>
      </c>
      <c r="L188" s="203">
        <v>0.39835402082217214</v>
      </c>
      <c r="M188" s="203">
        <v>17.245400399802836</v>
      </c>
      <c r="N188" s="50"/>
      <c r="O188" s="37"/>
      <c r="P188" s="138"/>
    </row>
    <row r="189" spans="2:16" x14ac:dyDescent="0.25">
      <c r="B189" s="137"/>
      <c r="C189" s="189" t="s">
        <v>223</v>
      </c>
      <c r="D189" s="189" t="s">
        <v>58</v>
      </c>
      <c r="E189" s="189" t="b">
        <v>0</v>
      </c>
      <c r="F189" s="189" t="s">
        <v>12</v>
      </c>
      <c r="G189" s="189" t="s">
        <v>10</v>
      </c>
      <c r="H189" s="36" t="str">
        <f t="shared" si="6"/>
        <v>Lowland|FALSE|700to900|DrainedAr</v>
      </c>
      <c r="I189" s="133">
        <v>0.25403586624276359</v>
      </c>
      <c r="J189" s="133">
        <v>17.588609972551009</v>
      </c>
      <c r="K189" s="36" t="str">
        <f t="shared" si="5"/>
        <v>Lowland|700to900</v>
      </c>
      <c r="L189" s="195"/>
      <c r="M189" s="195"/>
      <c r="N189" s="50"/>
      <c r="O189" s="37"/>
      <c r="P189" s="138"/>
    </row>
    <row r="190" spans="2:16" x14ac:dyDescent="0.25">
      <c r="B190" s="137"/>
      <c r="C190" s="189" t="s">
        <v>223</v>
      </c>
      <c r="D190" s="189" t="s">
        <v>58</v>
      </c>
      <c r="E190" s="189" t="b">
        <v>1</v>
      </c>
      <c r="F190" s="189" t="s">
        <v>12</v>
      </c>
      <c r="G190" s="189" t="s">
        <v>10</v>
      </c>
      <c r="H190" s="36" t="str">
        <f t="shared" si="6"/>
        <v>Lowland|TRUE|700to900|DrainedAr</v>
      </c>
      <c r="I190" s="133">
        <v>0.25403540629807997</v>
      </c>
      <c r="J190" s="133">
        <v>17.464634476426369</v>
      </c>
      <c r="K190" s="36" t="str">
        <f t="shared" si="5"/>
        <v>Lowland|700to900</v>
      </c>
      <c r="L190" s="195"/>
      <c r="M190" s="195"/>
      <c r="N190" s="50"/>
      <c r="O190" s="37"/>
      <c r="P190" s="138"/>
    </row>
    <row r="191" spans="2:16" x14ac:dyDescent="0.25">
      <c r="B191" s="137"/>
      <c r="C191" s="189" t="s">
        <v>223</v>
      </c>
      <c r="D191" s="189" t="s">
        <v>58</v>
      </c>
      <c r="E191" s="189" t="b">
        <v>0</v>
      </c>
      <c r="F191" s="189" t="s">
        <v>12</v>
      </c>
      <c r="G191" s="189" t="s">
        <v>11</v>
      </c>
      <c r="H191" s="36" t="str">
        <f t="shared" si="6"/>
        <v>Lowland|FALSE|700to900|DrainedArGr</v>
      </c>
      <c r="I191" s="133">
        <v>0.78475307568797692</v>
      </c>
      <c r="J191" s="133">
        <v>11.759942520238921</v>
      </c>
      <c r="K191" s="36" t="str">
        <f t="shared" si="5"/>
        <v>Lowland|700to900</v>
      </c>
      <c r="L191" s="195"/>
      <c r="M191" s="195"/>
      <c r="N191" s="50"/>
      <c r="O191" s="37"/>
      <c r="P191" s="138"/>
    </row>
    <row r="192" spans="2:16" x14ac:dyDescent="0.25">
      <c r="B192" s="137"/>
      <c r="C192" s="189" t="s">
        <v>223</v>
      </c>
      <c r="D192" s="189" t="s">
        <v>58</v>
      </c>
      <c r="E192" s="189" t="b">
        <v>1</v>
      </c>
      <c r="F192" s="189" t="s">
        <v>12</v>
      </c>
      <c r="G192" s="189" t="s">
        <v>11</v>
      </c>
      <c r="H192" s="36" t="str">
        <f t="shared" si="6"/>
        <v>Lowland|TRUE|700to900|DrainedArGr</v>
      </c>
      <c r="I192" s="133">
        <v>0.78471327234874022</v>
      </c>
      <c r="J192" s="133">
        <v>11.728778389425409</v>
      </c>
      <c r="K192" s="36" t="str">
        <f t="shared" si="5"/>
        <v>Lowland|700to900</v>
      </c>
      <c r="L192" s="195"/>
      <c r="M192" s="195"/>
      <c r="N192" s="50"/>
      <c r="O192" s="37"/>
      <c r="P192" s="138"/>
    </row>
    <row r="193" spans="2:16" x14ac:dyDescent="0.25">
      <c r="B193" s="137"/>
      <c r="C193" s="189" t="s">
        <v>223</v>
      </c>
      <c r="D193" s="189" t="s">
        <v>58</v>
      </c>
      <c r="E193" s="189" t="b">
        <v>1</v>
      </c>
      <c r="F193" s="189" t="s">
        <v>28</v>
      </c>
      <c r="G193" s="189" t="s">
        <v>10</v>
      </c>
      <c r="H193" s="36" t="str">
        <f t="shared" si="6"/>
        <v>Lowland|TRUE|Over1500|DrainedAr</v>
      </c>
      <c r="I193" s="133">
        <v>0.87418742961350626</v>
      </c>
      <c r="J193" s="133">
        <v>27.829932519994486</v>
      </c>
      <c r="K193" s="36" t="str">
        <f t="shared" si="5"/>
        <v>Lowland|Over1500</v>
      </c>
      <c r="L193" s="203">
        <v>0.87418742961350626</v>
      </c>
      <c r="M193" s="203">
        <v>27.829932519994486</v>
      </c>
      <c r="N193" s="50"/>
      <c r="O193" s="37"/>
      <c r="P193" s="138"/>
    </row>
    <row r="194" spans="2:16" x14ac:dyDescent="0.25">
      <c r="B194" s="137"/>
      <c r="C194" s="189" t="s">
        <v>223</v>
      </c>
      <c r="D194" s="189" t="s">
        <v>59</v>
      </c>
      <c r="E194" s="189" t="b">
        <v>0</v>
      </c>
      <c r="F194" s="189" t="s">
        <v>8</v>
      </c>
      <c r="G194" s="189" t="s">
        <v>9</v>
      </c>
      <c r="H194" s="36" t="str">
        <f t="shared" si="6"/>
        <v>Mixed|FALSE|600to700|FreeDrain</v>
      </c>
      <c r="I194" s="133">
        <v>7.70854082672707E-2</v>
      </c>
      <c r="J194" s="133">
        <v>31.467383593001422</v>
      </c>
      <c r="K194" s="36" t="str">
        <f t="shared" si="5"/>
        <v>Mixed|600to700</v>
      </c>
      <c r="L194" s="203">
        <v>0.32632507561710383</v>
      </c>
      <c r="M194" s="203">
        <v>24.907407920943669</v>
      </c>
      <c r="N194" s="50"/>
      <c r="O194" s="37"/>
      <c r="P194" s="138"/>
    </row>
    <row r="195" spans="2:16" x14ac:dyDescent="0.25">
      <c r="B195" s="137"/>
      <c r="C195" s="189" t="s">
        <v>223</v>
      </c>
      <c r="D195" s="189" t="s">
        <v>59</v>
      </c>
      <c r="E195" s="189" t="b">
        <v>1</v>
      </c>
      <c r="F195" s="189" t="s">
        <v>8</v>
      </c>
      <c r="G195" s="189" t="s">
        <v>9</v>
      </c>
      <c r="H195" s="36" t="str">
        <f t="shared" si="6"/>
        <v>Mixed|TRUE|600to700|FreeDrain</v>
      </c>
      <c r="I195" s="133">
        <v>7.6687945925547285E-2</v>
      </c>
      <c r="J195" s="133">
        <v>31.378446874540384</v>
      </c>
      <c r="K195" s="36" t="str">
        <f t="shared" si="5"/>
        <v>Mixed|600to700</v>
      </c>
      <c r="L195" s="195"/>
      <c r="M195" s="195"/>
      <c r="N195" s="50"/>
      <c r="O195" s="37"/>
      <c r="P195" s="138"/>
    </row>
    <row r="196" spans="2:16" x14ac:dyDescent="0.25">
      <c r="B196" s="137"/>
      <c r="C196" s="189" t="s">
        <v>223</v>
      </c>
      <c r="D196" s="189" t="s">
        <v>59</v>
      </c>
      <c r="E196" s="189" t="b">
        <v>0</v>
      </c>
      <c r="F196" s="189" t="s">
        <v>8</v>
      </c>
      <c r="G196" s="189" t="s">
        <v>10</v>
      </c>
      <c r="H196" s="36" t="str">
        <f t="shared" si="6"/>
        <v>Mixed|FALSE|600to700|DrainedAr</v>
      </c>
      <c r="I196" s="133">
        <v>0.3000900504465685</v>
      </c>
      <c r="J196" s="133">
        <v>21.702254419893261</v>
      </c>
      <c r="K196" s="36" t="str">
        <f t="shared" si="5"/>
        <v>Mixed|600to700</v>
      </c>
      <c r="L196" s="195"/>
      <c r="M196" s="195"/>
      <c r="N196" s="50"/>
      <c r="O196" s="37"/>
      <c r="P196" s="138"/>
    </row>
    <row r="197" spans="2:16" x14ac:dyDescent="0.25">
      <c r="B197" s="137"/>
      <c r="C197" s="189" t="s">
        <v>223</v>
      </c>
      <c r="D197" s="189" t="s">
        <v>59</v>
      </c>
      <c r="E197" s="189" t="b">
        <v>1</v>
      </c>
      <c r="F197" s="189" t="s">
        <v>8</v>
      </c>
      <c r="G197" s="189" t="s">
        <v>10</v>
      </c>
      <c r="H197" s="36" t="str">
        <f t="shared" si="6"/>
        <v>Mixed|TRUE|600to700|DrainedAr</v>
      </c>
      <c r="I197" s="133">
        <v>0.29709732340348982</v>
      </c>
      <c r="J197" s="133">
        <v>21.424385442997433</v>
      </c>
      <c r="K197" s="36" t="str">
        <f t="shared" si="5"/>
        <v>Mixed|600to700</v>
      </c>
      <c r="L197" s="195"/>
      <c r="M197" s="195"/>
      <c r="N197" s="50"/>
      <c r="O197" s="37"/>
      <c r="P197" s="138"/>
    </row>
    <row r="198" spans="2:16" x14ac:dyDescent="0.25">
      <c r="B198" s="137"/>
      <c r="C198" s="189" t="s">
        <v>223</v>
      </c>
      <c r="D198" s="189" t="s">
        <v>59</v>
      </c>
      <c r="E198" s="189" t="b">
        <v>0</v>
      </c>
      <c r="F198" s="189" t="s">
        <v>8</v>
      </c>
      <c r="G198" s="189" t="s">
        <v>11</v>
      </c>
      <c r="H198" s="36" t="str">
        <f t="shared" si="6"/>
        <v>Mixed|FALSE|600to700|DrainedArGr</v>
      </c>
      <c r="I198" s="133">
        <v>0.60179976813747238</v>
      </c>
      <c r="J198" s="133">
        <v>21.552585749936323</v>
      </c>
      <c r="K198" s="36" t="str">
        <f t="shared" si="5"/>
        <v>Mixed|600to700</v>
      </c>
      <c r="L198" s="195"/>
      <c r="M198" s="195"/>
      <c r="N198" s="50"/>
      <c r="O198" s="37"/>
      <c r="P198" s="138"/>
    </row>
    <row r="199" spans="2:16" x14ac:dyDescent="0.25">
      <c r="B199" s="137"/>
      <c r="C199" s="189" t="s">
        <v>223</v>
      </c>
      <c r="D199" s="189" t="s">
        <v>59</v>
      </c>
      <c r="E199" s="189" t="b">
        <v>1</v>
      </c>
      <c r="F199" s="189" t="s">
        <v>8</v>
      </c>
      <c r="G199" s="189" t="s">
        <v>11</v>
      </c>
      <c r="H199" s="36" t="str">
        <f t="shared" si="6"/>
        <v>Mixed|TRUE|600to700|DrainedArGr</v>
      </c>
      <c r="I199" s="133">
        <v>0.59629491335518137</v>
      </c>
      <c r="J199" s="133">
        <v>21.180686114184041</v>
      </c>
      <c r="K199" s="36" t="str">
        <f t="shared" si="5"/>
        <v>Mixed|600to700</v>
      </c>
      <c r="L199" s="195"/>
      <c r="M199" s="195"/>
      <c r="N199" s="50"/>
      <c r="O199" s="37"/>
      <c r="P199" s="138"/>
    </row>
    <row r="200" spans="2:16" x14ac:dyDescent="0.25">
      <c r="B200" s="137"/>
      <c r="C200" s="189" t="s">
        <v>223</v>
      </c>
      <c r="D200" s="189" t="s">
        <v>59</v>
      </c>
      <c r="E200" s="189" t="b">
        <v>1</v>
      </c>
      <c r="F200" s="189" t="s">
        <v>12</v>
      </c>
      <c r="G200" s="189" t="s">
        <v>9</v>
      </c>
      <c r="H200" s="36" t="str">
        <f t="shared" si="6"/>
        <v>Mixed|TRUE|700to900|FreeDrain</v>
      </c>
      <c r="I200" s="133">
        <v>0.18074680563787043</v>
      </c>
      <c r="J200" s="133">
        <v>38.380042119649993</v>
      </c>
      <c r="K200" s="36" t="str">
        <f t="shared" si="5"/>
        <v>Mixed|700to900</v>
      </c>
      <c r="L200" s="203">
        <v>0.46964320039234847</v>
      </c>
      <c r="M200" s="203">
        <v>31.51843121404163</v>
      </c>
      <c r="N200" s="50"/>
      <c r="O200" s="37"/>
      <c r="P200" s="138"/>
    </row>
    <row r="201" spans="2:16" x14ac:dyDescent="0.25">
      <c r="B201" s="137"/>
      <c r="C201" s="189" t="s">
        <v>223</v>
      </c>
      <c r="D201" s="189" t="s">
        <v>59</v>
      </c>
      <c r="E201" s="189" t="b">
        <v>0</v>
      </c>
      <c r="F201" s="189" t="s">
        <v>12</v>
      </c>
      <c r="G201" s="189" t="s">
        <v>10</v>
      </c>
      <c r="H201" s="36" t="str">
        <f t="shared" si="6"/>
        <v>Mixed|FALSE|700to900|DrainedAr</v>
      </c>
      <c r="I201" s="133">
        <v>0.61590119442900348</v>
      </c>
      <c r="J201" s="133">
        <v>28.268463718320056</v>
      </c>
      <c r="K201" s="36" t="str">
        <f t="shared" si="5"/>
        <v>Mixed|700to900</v>
      </c>
      <c r="L201" s="195"/>
      <c r="M201" s="195"/>
      <c r="N201" s="50"/>
      <c r="O201" s="37"/>
      <c r="P201" s="138"/>
    </row>
    <row r="202" spans="2:16" x14ac:dyDescent="0.25">
      <c r="B202" s="137"/>
      <c r="C202" s="189" t="s">
        <v>223</v>
      </c>
      <c r="D202" s="189" t="s">
        <v>59</v>
      </c>
      <c r="E202" s="189" t="b">
        <v>1</v>
      </c>
      <c r="F202" s="189" t="s">
        <v>12</v>
      </c>
      <c r="G202" s="189" t="s">
        <v>10</v>
      </c>
      <c r="H202" s="36" t="str">
        <f t="shared" si="6"/>
        <v>Mixed|TRUE|700to900|DrainedAr</v>
      </c>
      <c r="I202" s="133">
        <v>0.61228160111017149</v>
      </c>
      <c r="J202" s="133">
        <v>27.906787804154845</v>
      </c>
      <c r="K202" s="36" t="str">
        <f t="shared" si="5"/>
        <v>Mixed|700to900</v>
      </c>
      <c r="L202" s="195"/>
      <c r="M202" s="195"/>
      <c r="N202" s="50"/>
      <c r="O202" s="37"/>
      <c r="P202" s="138"/>
    </row>
    <row r="203" spans="2:16" x14ac:dyDescent="0.25">
      <c r="B203" s="137"/>
      <c r="C203" s="189" t="s">
        <v>223</v>
      </c>
      <c r="D203" s="189" t="s">
        <v>59</v>
      </c>
      <c r="E203" s="189" t="b">
        <v>0</v>
      </c>
      <c r="F203" s="189" t="s">
        <v>12</v>
      </c>
      <c r="G203" s="189" t="s">
        <v>11</v>
      </c>
      <c r="H203" s="36" t="str">
        <f t="shared" si="6"/>
        <v>Mixed|FALSE|700to900|DrainedArGr</v>
      </c>
      <c r="I203" s="133">
        <v>1.0099664167078888</v>
      </c>
      <c r="J203" s="133">
        <v>23.83099403564524</v>
      </c>
      <c r="K203" s="36" t="str">
        <f t="shared" si="5"/>
        <v>Mixed|700to900</v>
      </c>
      <c r="L203" s="195"/>
      <c r="M203" s="195"/>
      <c r="N203" s="50"/>
      <c r="O203" s="37"/>
      <c r="P203" s="138"/>
    </row>
    <row r="204" spans="2:16" x14ac:dyDescent="0.25">
      <c r="B204" s="137"/>
      <c r="C204" s="189" t="s">
        <v>223</v>
      </c>
      <c r="D204" s="189" t="s">
        <v>59</v>
      </c>
      <c r="E204" s="189" t="b">
        <v>1</v>
      </c>
      <c r="F204" s="189" t="s">
        <v>12</v>
      </c>
      <c r="G204" s="189" t="s">
        <v>11</v>
      </c>
      <c r="H204" s="36" t="str">
        <f t="shared" si="6"/>
        <v>Mixed|TRUE|700to900|DrainedArGr</v>
      </c>
      <c r="I204" s="133">
        <v>1.0034338173314477</v>
      </c>
      <c r="J204" s="133">
        <v>23.36510323356443</v>
      </c>
      <c r="K204" s="36" t="str">
        <f t="shared" si="5"/>
        <v>Mixed|700to900</v>
      </c>
      <c r="L204" s="195"/>
      <c r="M204" s="195"/>
      <c r="N204" s="50"/>
      <c r="O204" s="37"/>
      <c r="P204" s="138"/>
    </row>
    <row r="205" spans="2:16" x14ac:dyDescent="0.25">
      <c r="B205" s="137"/>
      <c r="C205" s="189" t="s">
        <v>223</v>
      </c>
      <c r="D205" s="189" t="s">
        <v>7</v>
      </c>
      <c r="E205" s="189" t="b">
        <v>0</v>
      </c>
      <c r="F205" s="189" t="s">
        <v>8</v>
      </c>
      <c r="G205" s="189" t="s">
        <v>9</v>
      </c>
      <c r="H205" s="36" t="str">
        <f t="shared" si="6"/>
        <v>Cereals|FALSE|600to700|FreeDrain</v>
      </c>
      <c r="I205" s="133">
        <v>0.17869023323683919</v>
      </c>
      <c r="J205" s="133">
        <v>77.846453000123716</v>
      </c>
      <c r="K205" s="36" t="str">
        <f t="shared" si="5"/>
        <v>Cereals|600to700</v>
      </c>
      <c r="L205" s="203">
        <v>0.94819564921099764</v>
      </c>
      <c r="M205" s="203">
        <v>65.065240537227183</v>
      </c>
      <c r="N205" s="50"/>
      <c r="O205" s="37"/>
      <c r="P205" s="138"/>
    </row>
    <row r="206" spans="2:16" x14ac:dyDescent="0.25">
      <c r="B206" s="137"/>
      <c r="C206" s="189" t="s">
        <v>223</v>
      </c>
      <c r="D206" s="189" t="s">
        <v>7</v>
      </c>
      <c r="E206" s="189" t="b">
        <v>1</v>
      </c>
      <c r="F206" s="189" t="s">
        <v>8</v>
      </c>
      <c r="G206" s="189" t="s">
        <v>9</v>
      </c>
      <c r="H206" s="36" t="str">
        <f t="shared" si="6"/>
        <v>Cereals|TRUE|600to700|FreeDrain</v>
      </c>
      <c r="I206" s="133">
        <v>0.1786595106255616</v>
      </c>
      <c r="J206" s="133">
        <v>77.610662984783445</v>
      </c>
      <c r="K206" s="36" t="str">
        <f t="shared" si="5"/>
        <v>Cereals|600to700</v>
      </c>
      <c r="L206" s="195"/>
      <c r="M206" s="195"/>
      <c r="N206" s="50"/>
      <c r="O206" s="37"/>
      <c r="P206" s="138"/>
    </row>
    <row r="207" spans="2:16" x14ac:dyDescent="0.25">
      <c r="B207" s="137"/>
      <c r="C207" s="189" t="s">
        <v>223</v>
      </c>
      <c r="D207" s="189" t="s">
        <v>7</v>
      </c>
      <c r="E207" s="189" t="b">
        <v>0</v>
      </c>
      <c r="F207" s="189" t="s">
        <v>8</v>
      </c>
      <c r="G207" s="189" t="s">
        <v>10</v>
      </c>
      <c r="H207" s="36" t="str">
        <f t="shared" si="6"/>
        <v>Cereals|FALSE|600to700|DrainedAr</v>
      </c>
      <c r="I207" s="133">
        <v>1.0082322924428881</v>
      </c>
      <c r="J207" s="133">
        <v>56.866029265010155</v>
      </c>
      <c r="K207" s="36" t="str">
        <f t="shared" si="5"/>
        <v>Cereals|600to700</v>
      </c>
      <c r="L207" s="195"/>
      <c r="M207" s="195"/>
      <c r="N207" s="50"/>
      <c r="O207" s="37"/>
      <c r="P207" s="138"/>
    </row>
    <row r="208" spans="2:16" x14ac:dyDescent="0.25">
      <c r="B208" s="137"/>
      <c r="C208" s="189" t="s">
        <v>223</v>
      </c>
      <c r="D208" s="189" t="s">
        <v>7</v>
      </c>
      <c r="E208" s="189" t="b">
        <v>1</v>
      </c>
      <c r="F208" s="189" t="s">
        <v>8</v>
      </c>
      <c r="G208" s="189" t="s">
        <v>10</v>
      </c>
      <c r="H208" s="36" t="str">
        <f t="shared" si="6"/>
        <v>Cereals|TRUE|600to700|DrainedAr</v>
      </c>
      <c r="I208" s="133">
        <v>1.0080262248104712</v>
      </c>
      <c r="J208" s="133">
        <v>56.699778293444048</v>
      </c>
      <c r="K208" s="36" t="str">
        <f t="shared" si="5"/>
        <v>Cereals|600to700</v>
      </c>
      <c r="L208" s="195"/>
      <c r="M208" s="195"/>
      <c r="N208" s="50"/>
      <c r="O208" s="37"/>
      <c r="P208" s="138"/>
    </row>
    <row r="209" spans="2:16" x14ac:dyDescent="0.25">
      <c r="B209" s="137"/>
      <c r="C209" s="189" t="s">
        <v>223</v>
      </c>
      <c r="D209" s="189" t="s">
        <v>7</v>
      </c>
      <c r="E209" s="189" t="b">
        <v>0</v>
      </c>
      <c r="F209" s="189" t="s">
        <v>8</v>
      </c>
      <c r="G209" s="189" t="s">
        <v>11</v>
      </c>
      <c r="H209" s="36" t="str">
        <f t="shared" si="6"/>
        <v>Cereals|FALSE|600to700|DrainedArGr</v>
      </c>
      <c r="I209" s="133">
        <v>1.6576644219532657</v>
      </c>
      <c r="J209" s="133">
        <v>60.483239346547656</v>
      </c>
      <c r="K209" s="36" t="str">
        <f t="shared" si="5"/>
        <v>Cereals|600to700</v>
      </c>
      <c r="L209" s="195"/>
      <c r="M209" s="195"/>
      <c r="N209" s="50"/>
      <c r="O209" s="37"/>
      <c r="P209" s="138"/>
    </row>
    <row r="210" spans="2:16" x14ac:dyDescent="0.25">
      <c r="B210" s="137"/>
      <c r="C210" s="189" t="s">
        <v>223</v>
      </c>
      <c r="D210" s="189" t="s">
        <v>7</v>
      </c>
      <c r="E210" s="189" t="b">
        <v>1</v>
      </c>
      <c r="F210" s="189" t="s">
        <v>8</v>
      </c>
      <c r="G210" s="189" t="s">
        <v>11</v>
      </c>
      <c r="H210" s="36" t="str">
        <f t="shared" si="6"/>
        <v>Cereals|TRUE|600to700|DrainedArGr</v>
      </c>
      <c r="I210" s="133">
        <v>1.6572621543897081</v>
      </c>
      <c r="J210" s="133">
        <v>60.315887342308521</v>
      </c>
      <c r="K210" s="36" t="str">
        <f t="shared" si="5"/>
        <v>Cereals|600to700</v>
      </c>
      <c r="L210" s="195"/>
      <c r="M210" s="195"/>
      <c r="N210" s="50"/>
      <c r="O210" s="37"/>
      <c r="P210" s="138"/>
    </row>
    <row r="211" spans="2:16" x14ac:dyDescent="0.25">
      <c r="B211" s="137"/>
      <c r="C211" s="189" t="s">
        <v>223</v>
      </c>
      <c r="D211" s="189" t="s">
        <v>7</v>
      </c>
      <c r="E211" s="189" t="b">
        <v>0</v>
      </c>
      <c r="F211" s="189" t="s">
        <v>12</v>
      </c>
      <c r="G211" s="189" t="s">
        <v>9</v>
      </c>
      <c r="H211" s="36" t="str">
        <f t="shared" si="6"/>
        <v>Cereals|FALSE|700to900|FreeDrain</v>
      </c>
      <c r="I211" s="133">
        <v>0.5171954450578431</v>
      </c>
      <c r="J211" s="133">
        <v>92.921716954884076</v>
      </c>
      <c r="K211" s="36" t="str">
        <f t="shared" si="5"/>
        <v>Cereals|700to900</v>
      </c>
      <c r="L211" s="203">
        <v>1.8691899989122076</v>
      </c>
      <c r="M211" s="203">
        <v>76.635591312897319</v>
      </c>
      <c r="N211" s="50"/>
      <c r="O211" s="37"/>
      <c r="P211" s="138"/>
    </row>
    <row r="212" spans="2:16" x14ac:dyDescent="0.25">
      <c r="B212" s="137"/>
      <c r="C212" s="189" t="s">
        <v>223</v>
      </c>
      <c r="D212" s="189" t="s">
        <v>7</v>
      </c>
      <c r="E212" s="189" t="b">
        <v>1</v>
      </c>
      <c r="F212" s="189" t="s">
        <v>12</v>
      </c>
      <c r="G212" s="189" t="s">
        <v>9</v>
      </c>
      <c r="H212" s="36" t="str">
        <f t="shared" si="6"/>
        <v>Cereals|TRUE|700to900|FreeDrain</v>
      </c>
      <c r="I212" s="133">
        <v>0.51713864993076375</v>
      </c>
      <c r="J212" s="133">
        <v>92.642367632980708</v>
      </c>
      <c r="K212" s="36" t="str">
        <f t="shared" si="5"/>
        <v>Cereals|700to900</v>
      </c>
      <c r="L212" s="195"/>
      <c r="M212" s="195"/>
      <c r="N212" s="50"/>
      <c r="O212" s="37"/>
      <c r="P212" s="138"/>
    </row>
    <row r="213" spans="2:16" x14ac:dyDescent="0.25">
      <c r="B213" s="137"/>
      <c r="C213" s="189" t="s">
        <v>223</v>
      </c>
      <c r="D213" s="189" t="s">
        <v>7</v>
      </c>
      <c r="E213" s="189" t="b">
        <v>0</v>
      </c>
      <c r="F213" s="189" t="s">
        <v>12</v>
      </c>
      <c r="G213" s="189" t="s">
        <v>10</v>
      </c>
      <c r="H213" s="36" t="str">
        <f t="shared" si="6"/>
        <v>Cereals|FALSE|700to900|DrainedAr</v>
      </c>
      <c r="I213" s="133">
        <v>2.1699933228558574</v>
      </c>
      <c r="J213" s="133">
        <v>70.878807206646627</v>
      </c>
      <c r="K213" s="36" t="str">
        <f t="shared" si="5"/>
        <v>Cereals|700to900</v>
      </c>
      <c r="L213" s="195"/>
      <c r="M213" s="195"/>
      <c r="N213" s="50"/>
      <c r="O213" s="37"/>
      <c r="P213" s="138"/>
    </row>
    <row r="214" spans="2:16" x14ac:dyDescent="0.25">
      <c r="B214" s="137"/>
      <c r="C214" s="189" t="s">
        <v>223</v>
      </c>
      <c r="D214" s="189" t="s">
        <v>7</v>
      </c>
      <c r="E214" s="189" t="b">
        <v>1</v>
      </c>
      <c r="F214" s="189" t="s">
        <v>12</v>
      </c>
      <c r="G214" s="189" t="s">
        <v>10</v>
      </c>
      <c r="H214" s="36" t="str">
        <f t="shared" si="6"/>
        <v>Cereals|TRUE|700to900|DrainedAr</v>
      </c>
      <c r="I214" s="133">
        <v>2.1697179922680654</v>
      </c>
      <c r="J214" s="133">
        <v>70.675673390882224</v>
      </c>
      <c r="K214" s="36" t="str">
        <f t="shared" si="5"/>
        <v>Cereals|700to900</v>
      </c>
      <c r="L214" s="195"/>
      <c r="M214" s="195"/>
      <c r="N214" s="50"/>
      <c r="O214" s="37"/>
      <c r="P214" s="138"/>
    </row>
    <row r="215" spans="2:16" x14ac:dyDescent="0.25">
      <c r="B215" s="137"/>
      <c r="C215" s="189" t="s">
        <v>223</v>
      </c>
      <c r="D215" s="189" t="s">
        <v>7</v>
      </c>
      <c r="E215" s="189" t="b">
        <v>0</v>
      </c>
      <c r="F215" s="189" t="s">
        <v>12</v>
      </c>
      <c r="G215" s="189" t="s">
        <v>11</v>
      </c>
      <c r="H215" s="36" t="str">
        <f t="shared" si="6"/>
        <v>Cereals|FALSE|700to900|DrainedArGr</v>
      </c>
      <c r="I215" s="133">
        <v>2.9203812288229223</v>
      </c>
      <c r="J215" s="133">
        <v>66.106249777161295</v>
      </c>
      <c r="K215" s="36" t="str">
        <f t="shared" si="5"/>
        <v>Cereals|700to900</v>
      </c>
      <c r="L215" s="195"/>
      <c r="M215" s="195"/>
      <c r="N215" s="50"/>
      <c r="O215" s="37"/>
      <c r="P215" s="138"/>
    </row>
    <row r="216" spans="2:16" x14ac:dyDescent="0.25">
      <c r="B216" s="137"/>
      <c r="C216" s="189" t="s">
        <v>223</v>
      </c>
      <c r="D216" s="189" t="s">
        <v>7</v>
      </c>
      <c r="E216" s="189" t="b">
        <v>1</v>
      </c>
      <c r="F216" s="189" t="s">
        <v>12</v>
      </c>
      <c r="G216" s="189" t="s">
        <v>11</v>
      </c>
      <c r="H216" s="36" t="str">
        <f t="shared" si="6"/>
        <v>Cereals|TRUE|700to900|DrainedArGr</v>
      </c>
      <c r="I216" s="133">
        <v>2.9198615723810448</v>
      </c>
      <c r="J216" s="133">
        <v>65.932521021210434</v>
      </c>
      <c r="K216" s="36" t="str">
        <f t="shared" si="5"/>
        <v>Cereals|700to900</v>
      </c>
      <c r="L216" s="195"/>
      <c r="M216" s="195"/>
      <c r="N216" s="50"/>
      <c r="O216" s="37"/>
      <c r="P216" s="138"/>
    </row>
    <row r="217" spans="2:16" x14ac:dyDescent="0.25">
      <c r="B217" s="137"/>
      <c r="C217" s="189" t="s">
        <v>223</v>
      </c>
      <c r="D217" s="189" t="s">
        <v>7</v>
      </c>
      <c r="E217" s="189" t="b">
        <v>1</v>
      </c>
      <c r="F217" s="189" t="s">
        <v>28</v>
      </c>
      <c r="G217" s="189" t="s">
        <v>9</v>
      </c>
      <c r="H217" s="36" t="str">
        <f t="shared" si="6"/>
        <v>Cereals|TRUE|Over1500|FreeDrain</v>
      </c>
      <c r="I217" s="133">
        <v>2.5271891499440993</v>
      </c>
      <c r="J217" s="133">
        <v>103.34871051120544</v>
      </c>
      <c r="K217" s="36" t="str">
        <f t="shared" si="5"/>
        <v>Cereals|Over1500</v>
      </c>
      <c r="L217" s="203">
        <v>2.5271891499440993</v>
      </c>
      <c r="M217" s="203">
        <v>103.34871051120544</v>
      </c>
      <c r="N217" s="50"/>
      <c r="O217" s="37"/>
      <c r="P217" s="138"/>
    </row>
    <row r="218" spans="2:16" x14ac:dyDescent="0.25">
      <c r="B218" s="137"/>
      <c r="C218" s="189" t="s">
        <v>223</v>
      </c>
      <c r="D218" s="189" t="s">
        <v>25</v>
      </c>
      <c r="E218" s="189" t="b">
        <v>0</v>
      </c>
      <c r="F218" s="189" t="s">
        <v>8</v>
      </c>
      <c r="G218" s="189" t="s">
        <v>9</v>
      </c>
      <c r="H218" s="36" t="str">
        <f t="shared" si="6"/>
        <v>General|FALSE|600to700|FreeDrain</v>
      </c>
      <c r="I218" s="133">
        <v>7.306322493817427E-2</v>
      </c>
      <c r="J218" s="133">
        <v>35.833035873233214</v>
      </c>
      <c r="K218" s="36" t="str">
        <f t="shared" si="5"/>
        <v>General|600to700</v>
      </c>
      <c r="L218" s="203">
        <v>0.38715393296104805</v>
      </c>
      <c r="M218" s="203">
        <v>28.99730664658895</v>
      </c>
      <c r="N218" s="50"/>
      <c r="O218" s="37"/>
      <c r="P218" s="138"/>
    </row>
    <row r="219" spans="2:16" x14ac:dyDescent="0.25">
      <c r="B219" s="137"/>
      <c r="C219" s="189" t="s">
        <v>223</v>
      </c>
      <c r="D219" s="189" t="s">
        <v>25</v>
      </c>
      <c r="E219" s="189" t="b">
        <v>1</v>
      </c>
      <c r="F219" s="189" t="s">
        <v>8</v>
      </c>
      <c r="G219" s="189" t="s">
        <v>9</v>
      </c>
      <c r="H219" s="36" t="str">
        <f t="shared" si="6"/>
        <v>General|TRUE|600to700|FreeDrain</v>
      </c>
      <c r="I219" s="133">
        <v>7.306322493817427E-2</v>
      </c>
      <c r="J219" s="133">
        <v>35.739192304043037</v>
      </c>
      <c r="K219" s="36" t="str">
        <f t="shared" si="5"/>
        <v>General|600to700</v>
      </c>
      <c r="L219" s="195"/>
      <c r="M219" s="195"/>
      <c r="N219" s="50"/>
      <c r="O219" s="37"/>
      <c r="P219" s="138"/>
    </row>
    <row r="220" spans="2:16" x14ac:dyDescent="0.25">
      <c r="B220" s="137"/>
      <c r="C220" s="189" t="s">
        <v>223</v>
      </c>
      <c r="D220" s="189" t="s">
        <v>25</v>
      </c>
      <c r="E220" s="189" t="b">
        <v>0</v>
      </c>
      <c r="F220" s="189" t="s">
        <v>8</v>
      </c>
      <c r="G220" s="189" t="s">
        <v>10</v>
      </c>
      <c r="H220" s="36" t="str">
        <f t="shared" si="6"/>
        <v>General|FALSE|600to700|DrainedAr</v>
      </c>
      <c r="I220" s="133">
        <v>0.40242138787359016</v>
      </c>
      <c r="J220" s="133">
        <v>25.12807904154085</v>
      </c>
      <c r="K220" s="36" t="str">
        <f t="shared" si="5"/>
        <v>General|600to700</v>
      </c>
      <c r="L220" s="195"/>
      <c r="M220" s="195"/>
      <c r="N220" s="50"/>
      <c r="O220" s="37"/>
      <c r="P220" s="138"/>
    </row>
    <row r="221" spans="2:16" x14ac:dyDescent="0.25">
      <c r="B221" s="137"/>
      <c r="C221" s="189" t="s">
        <v>223</v>
      </c>
      <c r="D221" s="189" t="s">
        <v>25</v>
      </c>
      <c r="E221" s="189" t="b">
        <v>1</v>
      </c>
      <c r="F221" s="189" t="s">
        <v>8</v>
      </c>
      <c r="G221" s="189" t="s">
        <v>10</v>
      </c>
      <c r="H221" s="36" t="str">
        <f t="shared" si="6"/>
        <v>General|TRUE|600to700|DrainedAr</v>
      </c>
      <c r="I221" s="133">
        <v>0.40242138787359016</v>
      </c>
      <c r="J221" s="133">
        <v>25.067716844696029</v>
      </c>
      <c r="K221" s="36" t="str">
        <f t="shared" si="5"/>
        <v>General|600to700</v>
      </c>
      <c r="L221" s="195"/>
      <c r="M221" s="195"/>
      <c r="N221" s="50"/>
      <c r="O221" s="37"/>
      <c r="P221" s="138"/>
    </row>
    <row r="222" spans="2:16" x14ac:dyDescent="0.25">
      <c r="B222" s="137"/>
      <c r="C222" s="189" t="s">
        <v>223</v>
      </c>
      <c r="D222" s="189" t="s">
        <v>25</v>
      </c>
      <c r="E222" s="189" t="b">
        <v>0</v>
      </c>
      <c r="F222" s="189" t="s">
        <v>8</v>
      </c>
      <c r="G222" s="189" t="s">
        <v>11</v>
      </c>
      <c r="H222" s="36" t="str">
        <f t="shared" si="6"/>
        <v>General|FALSE|600to700|DrainedArGr</v>
      </c>
      <c r="I222" s="133">
        <v>0.68597718607137981</v>
      </c>
      <c r="J222" s="133">
        <v>26.124648594182958</v>
      </c>
      <c r="K222" s="36" t="str">
        <f t="shared" si="5"/>
        <v>General|600to700</v>
      </c>
      <c r="L222" s="195"/>
      <c r="M222" s="195"/>
      <c r="N222" s="50"/>
      <c r="O222" s="37"/>
      <c r="P222" s="138"/>
    </row>
    <row r="223" spans="2:16" x14ac:dyDescent="0.25">
      <c r="B223" s="137"/>
      <c r="C223" s="189" t="s">
        <v>223</v>
      </c>
      <c r="D223" s="189" t="s">
        <v>25</v>
      </c>
      <c r="E223" s="189" t="b">
        <v>1</v>
      </c>
      <c r="F223" s="189" t="s">
        <v>8</v>
      </c>
      <c r="G223" s="189" t="s">
        <v>11</v>
      </c>
      <c r="H223" s="36" t="str">
        <f t="shared" si="6"/>
        <v>General|TRUE|600to700|DrainedArGr</v>
      </c>
      <c r="I223" s="133">
        <v>0.68597718607137981</v>
      </c>
      <c r="J223" s="133">
        <v>26.06652811703314</v>
      </c>
      <c r="K223" s="36" t="str">
        <f t="shared" si="5"/>
        <v>General|600to700</v>
      </c>
      <c r="L223" s="203">
        <v>0.74155257181027012</v>
      </c>
      <c r="M223" s="203">
        <v>33.865302376705024</v>
      </c>
      <c r="N223" s="50"/>
      <c r="O223" s="37"/>
      <c r="P223" s="138"/>
    </row>
    <row r="224" spans="2:16" x14ac:dyDescent="0.25">
      <c r="B224" s="137"/>
      <c r="C224" s="189" t="s">
        <v>223</v>
      </c>
      <c r="D224" s="189" t="s">
        <v>25</v>
      </c>
      <c r="E224" s="189" t="b">
        <v>0</v>
      </c>
      <c r="F224" s="189" t="s">
        <v>12</v>
      </c>
      <c r="G224" s="189" t="s">
        <v>9</v>
      </c>
      <c r="H224" s="36" t="str">
        <f t="shared" si="6"/>
        <v>General|FALSE|700to900|FreeDrain</v>
      </c>
      <c r="I224" s="133">
        <v>0.20748401186788407</v>
      </c>
      <c r="J224" s="133">
        <v>42.592554344921965</v>
      </c>
      <c r="K224" s="36" t="str">
        <f t="shared" si="5"/>
        <v>General|700to900</v>
      </c>
      <c r="L224" s="195"/>
      <c r="M224" s="195"/>
      <c r="N224" s="50"/>
      <c r="O224" s="37"/>
      <c r="P224" s="138"/>
    </row>
    <row r="225" spans="2:16" x14ac:dyDescent="0.25">
      <c r="B225" s="137"/>
      <c r="C225" s="189" t="s">
        <v>223</v>
      </c>
      <c r="D225" s="189" t="s">
        <v>25</v>
      </c>
      <c r="E225" s="189" t="b">
        <v>1</v>
      </c>
      <c r="F225" s="189" t="s">
        <v>12</v>
      </c>
      <c r="G225" s="189" t="s">
        <v>9</v>
      </c>
      <c r="H225" s="36" t="str">
        <f t="shared" si="6"/>
        <v>General|TRUE|700to900|FreeDrain</v>
      </c>
      <c r="I225" s="133">
        <v>0.20748401186788407</v>
      </c>
      <c r="J225" s="133">
        <v>42.482152551195178</v>
      </c>
      <c r="K225" s="36" t="str">
        <f t="shared" si="5"/>
        <v>General|700to900</v>
      </c>
      <c r="L225" s="195"/>
      <c r="M225" s="195"/>
      <c r="N225" s="50"/>
      <c r="O225" s="37"/>
      <c r="P225" s="138"/>
    </row>
    <row r="226" spans="2:16" x14ac:dyDescent="0.25">
      <c r="B226" s="137"/>
      <c r="C226" s="189" t="s">
        <v>223</v>
      </c>
      <c r="D226" s="189" t="s">
        <v>25</v>
      </c>
      <c r="E226" s="189" t="b">
        <v>0</v>
      </c>
      <c r="F226" s="189" t="s">
        <v>12</v>
      </c>
      <c r="G226" s="189" t="s">
        <v>10</v>
      </c>
      <c r="H226" s="36" t="str">
        <f t="shared" si="6"/>
        <v>General|FALSE|700to900|DrainedAr</v>
      </c>
      <c r="I226" s="133">
        <v>0.84058087771565992</v>
      </c>
      <c r="J226" s="133">
        <v>31.026178397506875</v>
      </c>
      <c r="K226" s="36" t="str">
        <f t="shared" si="5"/>
        <v>General|700to900</v>
      </c>
      <c r="L226" s="195"/>
      <c r="M226" s="195"/>
      <c r="N226" s="50"/>
      <c r="O226" s="37"/>
      <c r="P226" s="138"/>
    </row>
    <row r="227" spans="2:16" x14ac:dyDescent="0.25">
      <c r="B227" s="137"/>
      <c r="C227" s="189" t="s">
        <v>223</v>
      </c>
      <c r="D227" s="189" t="s">
        <v>25</v>
      </c>
      <c r="E227" s="189" t="b">
        <v>1</v>
      </c>
      <c r="F227" s="189" t="s">
        <v>12</v>
      </c>
      <c r="G227" s="189" t="s">
        <v>10</v>
      </c>
      <c r="H227" s="36" t="str">
        <f t="shared" si="6"/>
        <v>General|TRUE|700to900|DrainedAr</v>
      </c>
      <c r="I227" s="133">
        <v>0.84058087771565992</v>
      </c>
      <c r="J227" s="133">
        <v>30.953335614752376</v>
      </c>
      <c r="K227" s="36" t="str">
        <f t="shared" si="5"/>
        <v>General|700to900</v>
      </c>
      <c r="L227" s="195"/>
      <c r="M227" s="195"/>
      <c r="N227" s="50"/>
      <c r="O227" s="37"/>
      <c r="P227" s="138"/>
    </row>
    <row r="228" spans="2:16" x14ac:dyDescent="0.25">
      <c r="B228" s="137"/>
      <c r="C228" s="189" t="s">
        <v>223</v>
      </c>
      <c r="D228" s="189" t="s">
        <v>25</v>
      </c>
      <c r="E228" s="189" t="b">
        <v>0</v>
      </c>
      <c r="F228" s="189" t="s">
        <v>12</v>
      </c>
      <c r="G228" s="189" t="s">
        <v>11</v>
      </c>
      <c r="H228" s="36" t="str">
        <f t="shared" si="6"/>
        <v>General|FALSE|700to900|DrainedArGr</v>
      </c>
      <c r="I228" s="133">
        <v>1.176592825847266</v>
      </c>
      <c r="J228" s="133">
        <v>27.977174387686233</v>
      </c>
      <c r="K228" s="36" t="str">
        <f t="shared" si="5"/>
        <v>General|700to900</v>
      </c>
      <c r="L228" s="195"/>
      <c r="M228" s="195"/>
      <c r="N228" s="50"/>
      <c r="O228" s="37"/>
      <c r="P228" s="138"/>
    </row>
    <row r="229" spans="2:16" x14ac:dyDescent="0.25">
      <c r="B229" s="137"/>
      <c r="C229" s="189" t="s">
        <v>223</v>
      </c>
      <c r="D229" s="189" t="s">
        <v>25</v>
      </c>
      <c r="E229" s="189" t="b">
        <v>1</v>
      </c>
      <c r="F229" s="189" t="s">
        <v>12</v>
      </c>
      <c r="G229" s="189" t="s">
        <v>11</v>
      </c>
      <c r="H229" s="36" t="str">
        <f t="shared" si="6"/>
        <v>General|TRUE|700to900|DrainedArGr</v>
      </c>
      <c r="I229" s="133">
        <v>1.176592825847266</v>
      </c>
      <c r="J229" s="133">
        <v>27.918873376028102</v>
      </c>
      <c r="K229" s="36" t="str">
        <f t="shared" si="5"/>
        <v>General|700to900</v>
      </c>
      <c r="L229" s="195"/>
      <c r="M229" s="195"/>
      <c r="N229" s="50"/>
      <c r="O229" s="37"/>
      <c r="P229" s="138"/>
    </row>
    <row r="230" spans="2:16" x14ac:dyDescent="0.25">
      <c r="B230" s="137"/>
      <c r="C230" s="189" t="s">
        <v>223</v>
      </c>
      <c r="D230" s="189" t="s">
        <v>25</v>
      </c>
      <c r="E230" s="189" t="b">
        <v>1</v>
      </c>
      <c r="F230" s="189" t="s">
        <v>28</v>
      </c>
      <c r="G230" s="189" t="s">
        <v>9</v>
      </c>
      <c r="H230" s="36" t="str">
        <f t="shared" si="6"/>
        <v>General|TRUE|Over1500|FreeDrain</v>
      </c>
      <c r="I230" s="133">
        <v>1.0403760412561411</v>
      </c>
      <c r="J230" s="133">
        <v>46.799834412038322</v>
      </c>
      <c r="K230" s="36" t="str">
        <f t="shared" si="5"/>
        <v>General|Over1500</v>
      </c>
      <c r="L230" s="203">
        <v>1.0403760412561411</v>
      </c>
      <c r="M230" s="203">
        <v>46.799834412038322</v>
      </c>
      <c r="N230" s="50"/>
      <c r="O230" s="37"/>
      <c r="P230" s="138"/>
    </row>
    <row r="231" spans="2:16" x14ac:dyDescent="0.25">
      <c r="B231" s="137"/>
      <c r="C231" s="189" t="s">
        <v>223</v>
      </c>
      <c r="D231" s="189" t="s">
        <v>32</v>
      </c>
      <c r="E231" s="189" t="b">
        <v>0</v>
      </c>
      <c r="F231" s="189" t="s">
        <v>8</v>
      </c>
      <c r="G231" s="189" t="s">
        <v>9</v>
      </c>
      <c r="H231" s="36" t="str">
        <f t="shared" si="6"/>
        <v>Horticulture|FALSE|600to700|FreeDrain</v>
      </c>
      <c r="I231" s="133">
        <v>3.3996747360358084E-2</v>
      </c>
      <c r="J231" s="133">
        <v>14.143185777216893</v>
      </c>
      <c r="K231" s="36" t="str">
        <f t="shared" si="5"/>
        <v>Horticulture|600to700</v>
      </c>
      <c r="L231" s="203">
        <v>0.19164871099243666</v>
      </c>
      <c r="M231" s="203">
        <v>11.418574486472126</v>
      </c>
      <c r="N231" s="50"/>
      <c r="O231" s="37"/>
      <c r="P231" s="138"/>
    </row>
    <row r="232" spans="2:16" x14ac:dyDescent="0.25">
      <c r="B232" s="137"/>
      <c r="C232" s="189" t="s">
        <v>223</v>
      </c>
      <c r="D232" s="189" t="s">
        <v>32</v>
      </c>
      <c r="E232" s="189" t="b">
        <v>1</v>
      </c>
      <c r="F232" s="189" t="s">
        <v>8</v>
      </c>
      <c r="G232" s="189" t="s">
        <v>9</v>
      </c>
      <c r="H232" s="36" t="str">
        <f t="shared" si="6"/>
        <v>Horticulture|TRUE|600to700|FreeDrain</v>
      </c>
      <c r="I232" s="133">
        <v>3.3996747360358084E-2</v>
      </c>
      <c r="J232" s="133">
        <v>14.10692547055134</v>
      </c>
      <c r="K232" s="36" t="str">
        <f t="shared" si="5"/>
        <v>Horticulture|600to700</v>
      </c>
      <c r="L232" s="195"/>
      <c r="M232" s="195"/>
      <c r="N232" s="50"/>
      <c r="O232" s="37"/>
      <c r="P232" s="138"/>
    </row>
    <row r="233" spans="2:16" x14ac:dyDescent="0.25">
      <c r="B233" s="137"/>
      <c r="C233" s="189" t="s">
        <v>223</v>
      </c>
      <c r="D233" s="189" t="s">
        <v>32</v>
      </c>
      <c r="E233" s="189" t="b">
        <v>0</v>
      </c>
      <c r="F233" s="189" t="s">
        <v>8</v>
      </c>
      <c r="G233" s="189" t="s">
        <v>10</v>
      </c>
      <c r="H233" s="36" t="str">
        <f t="shared" si="6"/>
        <v>Horticulture|FALSE|600to700|DrainedAr</v>
      </c>
      <c r="I233" s="133">
        <v>0.20077231074281324</v>
      </c>
      <c r="J233" s="133">
        <v>9.8953003018938652</v>
      </c>
      <c r="K233" s="36" t="str">
        <f t="shared" si="5"/>
        <v>Horticulture|600to700</v>
      </c>
      <c r="L233" s="195"/>
      <c r="M233" s="195"/>
      <c r="N233" s="50"/>
      <c r="O233" s="37"/>
      <c r="P233" s="138"/>
    </row>
    <row r="234" spans="2:16" x14ac:dyDescent="0.25">
      <c r="B234" s="137"/>
      <c r="C234" s="189" t="s">
        <v>223</v>
      </c>
      <c r="D234" s="189" t="s">
        <v>32</v>
      </c>
      <c r="E234" s="189" t="b">
        <v>1</v>
      </c>
      <c r="F234" s="189" t="s">
        <v>8</v>
      </c>
      <c r="G234" s="189" t="s">
        <v>10</v>
      </c>
      <c r="H234" s="36" t="str">
        <f t="shared" si="6"/>
        <v>Horticulture|TRUE|600to700|DrainedAr</v>
      </c>
      <c r="I234" s="133">
        <v>0.20077231074281324</v>
      </c>
      <c r="J234" s="133">
        <v>9.8719820742014104</v>
      </c>
      <c r="K234" s="36" t="str">
        <f t="shared" ref="K234:K292" si="7">D234&amp;"|"&amp;F234</f>
        <v>Horticulture|600to700</v>
      </c>
      <c r="L234" s="195"/>
      <c r="M234" s="195"/>
      <c r="N234" s="50"/>
      <c r="O234" s="37"/>
      <c r="P234" s="138"/>
    </row>
    <row r="235" spans="2:16" x14ac:dyDescent="0.25">
      <c r="B235" s="137"/>
      <c r="C235" s="189" t="s">
        <v>223</v>
      </c>
      <c r="D235" s="189" t="s">
        <v>32</v>
      </c>
      <c r="E235" s="189" t="b">
        <v>0</v>
      </c>
      <c r="F235" s="189" t="s">
        <v>8</v>
      </c>
      <c r="G235" s="189" t="s">
        <v>11</v>
      </c>
      <c r="H235" s="36" t="str">
        <f t="shared" si="6"/>
        <v>Horticulture|FALSE|600to700|DrainedArGr</v>
      </c>
      <c r="I235" s="133">
        <v>0.34017707487413862</v>
      </c>
      <c r="J235" s="133">
        <v>10.217237380305624</v>
      </c>
      <c r="K235" s="36" t="str">
        <f t="shared" si="7"/>
        <v>Horticulture|600to700</v>
      </c>
      <c r="L235" s="195"/>
      <c r="M235" s="195"/>
      <c r="N235" s="50"/>
      <c r="O235" s="37"/>
      <c r="P235" s="138"/>
    </row>
    <row r="236" spans="2:16" x14ac:dyDescent="0.25">
      <c r="B236" s="137"/>
      <c r="C236" s="189" t="s">
        <v>223</v>
      </c>
      <c r="D236" s="189" t="s">
        <v>32</v>
      </c>
      <c r="E236" s="189" t="b">
        <v>1</v>
      </c>
      <c r="F236" s="189" t="s">
        <v>8</v>
      </c>
      <c r="G236" s="189" t="s">
        <v>11</v>
      </c>
      <c r="H236" s="36" t="str">
        <f t="shared" si="6"/>
        <v>Horticulture|TRUE|600to700|DrainedArGr</v>
      </c>
      <c r="I236" s="133">
        <v>0.34017707487413862</v>
      </c>
      <c r="J236" s="133">
        <v>10.194803969037922</v>
      </c>
      <c r="K236" s="36" t="str">
        <f t="shared" si="7"/>
        <v>Horticulture|600to700</v>
      </c>
      <c r="L236" s="195"/>
      <c r="M236" s="195"/>
      <c r="N236" s="50"/>
      <c r="O236" s="37"/>
      <c r="P236" s="138"/>
    </row>
    <row r="237" spans="2:16" x14ac:dyDescent="0.25">
      <c r="B237" s="137"/>
      <c r="C237" s="189" t="s">
        <v>223</v>
      </c>
      <c r="D237" s="189" t="s">
        <v>32</v>
      </c>
      <c r="E237" s="189" t="b">
        <v>1</v>
      </c>
      <c r="F237" s="189" t="s">
        <v>12</v>
      </c>
      <c r="G237" s="189" t="s">
        <v>9</v>
      </c>
      <c r="H237" s="36" t="str">
        <f t="shared" si="6"/>
        <v>Horticulture|TRUE|700to900|FreeDrain</v>
      </c>
      <c r="I237" s="133">
        <v>9.8883123275577314E-2</v>
      </c>
      <c r="J237" s="133">
        <v>16.720813745434882</v>
      </c>
      <c r="K237" s="36" t="str">
        <f t="shared" si="7"/>
        <v>Horticulture|700to900</v>
      </c>
      <c r="L237" s="203">
        <v>0.36891002104102283</v>
      </c>
      <c r="M237" s="203">
        <v>13.295511554896015</v>
      </c>
      <c r="N237" s="50"/>
      <c r="O237" s="37"/>
      <c r="P237" s="138"/>
    </row>
    <row r="238" spans="2:16" x14ac:dyDescent="0.25">
      <c r="B238" s="137"/>
      <c r="C238" s="189" t="s">
        <v>223</v>
      </c>
      <c r="D238" s="189" t="s">
        <v>32</v>
      </c>
      <c r="E238" s="189" t="b">
        <v>0</v>
      </c>
      <c r="F238" s="189" t="s">
        <v>12</v>
      </c>
      <c r="G238" s="189" t="s">
        <v>10</v>
      </c>
      <c r="H238" s="36" t="str">
        <f t="shared" si="6"/>
        <v>Horticulture|FALSE|700to900|DrainedAr</v>
      </c>
      <c r="I238" s="133">
        <v>0.42156507037030877</v>
      </c>
      <c r="J238" s="133">
        <v>12.214023878715249</v>
      </c>
      <c r="K238" s="36" t="str">
        <f t="shared" si="7"/>
        <v>Horticulture|700to900</v>
      </c>
      <c r="L238" s="195"/>
      <c r="M238" s="195"/>
      <c r="N238" s="50"/>
      <c r="O238" s="37"/>
      <c r="P238" s="138"/>
    </row>
    <row r="239" spans="2:16" x14ac:dyDescent="0.25">
      <c r="B239" s="137"/>
      <c r="C239" s="189" t="s">
        <v>223</v>
      </c>
      <c r="D239" s="189" t="s">
        <v>32</v>
      </c>
      <c r="E239" s="189" t="b">
        <v>1</v>
      </c>
      <c r="F239" s="189" t="s">
        <v>12</v>
      </c>
      <c r="G239" s="189" t="s">
        <v>10</v>
      </c>
      <c r="H239" s="36" t="str">
        <f t="shared" si="6"/>
        <v>Horticulture|TRUE|700to900|DrainedAr</v>
      </c>
      <c r="I239" s="133">
        <v>0.42156507037030877</v>
      </c>
      <c r="J239" s="133">
        <v>12.185846940386863</v>
      </c>
      <c r="K239" s="36" t="str">
        <f t="shared" si="7"/>
        <v>Horticulture|700to900</v>
      </c>
      <c r="L239" s="195"/>
      <c r="M239" s="195"/>
      <c r="N239" s="50"/>
      <c r="O239" s="37"/>
      <c r="P239" s="138"/>
    </row>
    <row r="240" spans="2:16" x14ac:dyDescent="0.25">
      <c r="B240" s="137"/>
      <c r="C240" s="189" t="s">
        <v>223</v>
      </c>
      <c r="D240" s="189" t="s">
        <v>32</v>
      </c>
      <c r="E240" s="189" t="b">
        <v>0</v>
      </c>
      <c r="F240" s="189" t="s">
        <v>12</v>
      </c>
      <c r="G240" s="189" t="s">
        <v>11</v>
      </c>
      <c r="H240" s="36" t="str">
        <f t="shared" si="6"/>
        <v>Horticulture|FALSE|700to900|DrainedArGr</v>
      </c>
      <c r="I240" s="133">
        <v>0.58628186947718242</v>
      </c>
      <c r="J240" s="133">
        <v>10.951697040537912</v>
      </c>
      <c r="K240" s="36" t="str">
        <f t="shared" si="7"/>
        <v>Horticulture|700to900</v>
      </c>
      <c r="L240" s="195"/>
      <c r="M240" s="195"/>
      <c r="N240" s="50"/>
      <c r="O240" s="37"/>
      <c r="P240" s="138"/>
    </row>
    <row r="241" spans="2:16" x14ac:dyDescent="0.25">
      <c r="B241" s="137"/>
      <c r="C241" s="189" t="s">
        <v>223</v>
      </c>
      <c r="D241" s="189" t="s">
        <v>32</v>
      </c>
      <c r="E241" s="189" t="b">
        <v>1</v>
      </c>
      <c r="F241" s="189" t="s">
        <v>12</v>
      </c>
      <c r="G241" s="189" t="s">
        <v>11</v>
      </c>
      <c r="H241" s="36" t="str">
        <f t="shared" si="6"/>
        <v>Horticulture|TRUE|700to900|DrainedArGr</v>
      </c>
      <c r="I241" s="133">
        <v>0.58628186947718242</v>
      </c>
      <c r="J241" s="133">
        <v>10.9291611980812</v>
      </c>
      <c r="K241" s="36" t="str">
        <f t="shared" si="7"/>
        <v>Horticulture|700to900</v>
      </c>
      <c r="L241" s="195"/>
      <c r="M241" s="195"/>
      <c r="N241" s="50"/>
      <c r="O241" s="37"/>
      <c r="P241" s="138"/>
    </row>
    <row r="242" spans="2:16" x14ac:dyDescent="0.25">
      <c r="B242" s="137"/>
      <c r="C242" s="189" t="s">
        <v>223</v>
      </c>
      <c r="D242" s="189" t="s">
        <v>42</v>
      </c>
      <c r="E242" s="189" t="b">
        <v>0</v>
      </c>
      <c r="F242" s="189" t="s">
        <v>8</v>
      </c>
      <c r="G242" s="189" t="s">
        <v>9</v>
      </c>
      <c r="H242" s="36" t="str">
        <f t="shared" si="6"/>
        <v>Pig|FALSE|600to700|FreeDrain</v>
      </c>
      <c r="I242" s="133">
        <v>0.13757963419294489</v>
      </c>
      <c r="J242" s="133">
        <v>177.97162422190507</v>
      </c>
      <c r="K242" s="36" t="str">
        <f t="shared" si="7"/>
        <v>Pig|600to700</v>
      </c>
      <c r="L242" s="203">
        <v>0.56649497392592274</v>
      </c>
      <c r="M242" s="203">
        <v>135.95565497356606</v>
      </c>
      <c r="N242" s="50"/>
      <c r="O242" s="37"/>
      <c r="P242" s="138"/>
    </row>
    <row r="243" spans="2:16" x14ac:dyDescent="0.25">
      <c r="B243" s="137"/>
      <c r="C243" s="189" t="s">
        <v>223</v>
      </c>
      <c r="D243" s="189" t="s">
        <v>42</v>
      </c>
      <c r="E243" s="189" t="b">
        <v>1</v>
      </c>
      <c r="F243" s="189" t="s">
        <v>8</v>
      </c>
      <c r="G243" s="189" t="s">
        <v>9</v>
      </c>
      <c r="H243" s="36" t="str">
        <f t="shared" si="6"/>
        <v>Pig|TRUE|600to700|FreeDrain</v>
      </c>
      <c r="I243" s="133">
        <v>0.13111581029536148</v>
      </c>
      <c r="J243" s="133">
        <v>178.70670386174262</v>
      </c>
      <c r="K243" s="36" t="str">
        <f t="shared" si="7"/>
        <v>Pig|600to700</v>
      </c>
      <c r="L243" s="195"/>
      <c r="M243" s="195"/>
      <c r="N243" s="50"/>
      <c r="O243" s="37"/>
      <c r="P243" s="138"/>
    </row>
    <row r="244" spans="2:16" x14ac:dyDescent="0.25">
      <c r="B244" s="137"/>
      <c r="C244" s="189" t="s">
        <v>223</v>
      </c>
      <c r="D244" s="189" t="s">
        <v>42</v>
      </c>
      <c r="E244" s="189" t="b">
        <v>0</v>
      </c>
      <c r="F244" s="189" t="s">
        <v>8</v>
      </c>
      <c r="G244" s="189" t="s">
        <v>10</v>
      </c>
      <c r="H244" s="36" t="str">
        <f t="shared" si="6"/>
        <v>Pig|FALSE|600to700|DrainedAr</v>
      </c>
      <c r="I244" s="133">
        <v>0.60197730823650208</v>
      </c>
      <c r="J244" s="133">
        <v>117.27257320647058</v>
      </c>
      <c r="K244" s="36" t="str">
        <f t="shared" si="7"/>
        <v>Pig|600to700</v>
      </c>
      <c r="L244" s="195"/>
      <c r="M244" s="195"/>
      <c r="N244" s="50"/>
      <c r="O244" s="37"/>
      <c r="P244" s="138"/>
    </row>
    <row r="245" spans="2:16" x14ac:dyDescent="0.25">
      <c r="B245" s="137"/>
      <c r="C245" s="189" t="s">
        <v>223</v>
      </c>
      <c r="D245" s="189" t="s">
        <v>42</v>
      </c>
      <c r="E245" s="189" t="b">
        <v>1</v>
      </c>
      <c r="F245" s="189" t="s">
        <v>8</v>
      </c>
      <c r="G245" s="189" t="s">
        <v>10</v>
      </c>
      <c r="H245" s="36" t="str">
        <f t="shared" si="6"/>
        <v>Pig|TRUE|600to700|DrainedAr</v>
      </c>
      <c r="I245" s="133">
        <v>0.54526256938935225</v>
      </c>
      <c r="J245" s="133">
        <v>112.87763533987254</v>
      </c>
      <c r="K245" s="36" t="str">
        <f t="shared" si="7"/>
        <v>Pig|600to700</v>
      </c>
      <c r="L245" s="195"/>
      <c r="M245" s="195"/>
      <c r="N245" s="50"/>
      <c r="O245" s="37"/>
      <c r="P245" s="138"/>
    </row>
    <row r="246" spans="2:16" x14ac:dyDescent="0.25">
      <c r="B246" s="137"/>
      <c r="C246" s="189" t="s">
        <v>223</v>
      </c>
      <c r="D246" s="189" t="s">
        <v>42</v>
      </c>
      <c r="E246" s="189" t="b">
        <v>0</v>
      </c>
      <c r="F246" s="189" t="s">
        <v>8</v>
      </c>
      <c r="G246" s="189" t="s">
        <v>11</v>
      </c>
      <c r="H246" s="36" t="str">
        <f t="shared" ref="H246:H292" si="8">D246&amp;"|"&amp;E246&amp;"|"&amp;F246&amp;"|"&amp;G246</f>
        <v>Pig|FALSE|600to700|DrainedArGr</v>
      </c>
      <c r="I246" s="133">
        <v>0.9599279793483213</v>
      </c>
      <c r="J246" s="133">
        <v>112.62276749232254</v>
      </c>
      <c r="K246" s="36" t="str">
        <f t="shared" si="7"/>
        <v>Pig|600to700</v>
      </c>
      <c r="L246" s="195"/>
      <c r="M246" s="195"/>
      <c r="N246" s="50"/>
      <c r="O246" s="37"/>
      <c r="P246" s="138"/>
    </row>
    <row r="247" spans="2:16" x14ac:dyDescent="0.25">
      <c r="B247" s="137"/>
      <c r="C247" s="189" t="s">
        <v>223</v>
      </c>
      <c r="D247" s="189" t="s">
        <v>42</v>
      </c>
      <c r="E247" s="189" t="b">
        <v>1</v>
      </c>
      <c r="F247" s="189" t="s">
        <v>8</v>
      </c>
      <c r="G247" s="189" t="s">
        <v>11</v>
      </c>
      <c r="H247" s="36" t="str">
        <f t="shared" si="8"/>
        <v>Pig|TRUE|600to700|DrainedArGr</v>
      </c>
      <c r="I247" s="133">
        <v>0.87744598371564519</v>
      </c>
      <c r="J247" s="133">
        <v>105.95463066397717</v>
      </c>
      <c r="K247" s="36" t="str">
        <f t="shared" si="7"/>
        <v>Pig|600to700</v>
      </c>
      <c r="L247" s="195"/>
      <c r="M247" s="195"/>
      <c r="N247" s="50"/>
      <c r="O247" s="37"/>
      <c r="P247" s="138"/>
    </row>
    <row r="248" spans="2:16" x14ac:dyDescent="0.25">
      <c r="B248" s="137"/>
      <c r="C248" s="189" t="s">
        <v>223</v>
      </c>
      <c r="D248" s="189" t="s">
        <v>42</v>
      </c>
      <c r="E248" s="189" t="b">
        <v>1</v>
      </c>
      <c r="F248" s="189" t="s">
        <v>12</v>
      </c>
      <c r="G248" s="189" t="s">
        <v>9</v>
      </c>
      <c r="H248" s="36" t="str">
        <f t="shared" si="8"/>
        <v>Pig|TRUE|700to900|FreeDrain</v>
      </c>
      <c r="I248" s="133">
        <v>0.32719909336341685</v>
      </c>
      <c r="J248" s="133">
        <v>209.8334351295172</v>
      </c>
      <c r="K248" s="36" t="str">
        <f t="shared" si="7"/>
        <v>Pig|700to900</v>
      </c>
      <c r="L248" s="203">
        <v>1.0292276937374334</v>
      </c>
      <c r="M248" s="203">
        <v>158.98584997928762</v>
      </c>
      <c r="N248" s="50"/>
      <c r="O248" s="37"/>
      <c r="P248" s="138"/>
    </row>
    <row r="249" spans="2:16" x14ac:dyDescent="0.25">
      <c r="B249" s="137"/>
      <c r="C249" s="189" t="s">
        <v>223</v>
      </c>
      <c r="D249" s="189" t="s">
        <v>42</v>
      </c>
      <c r="E249" s="189" t="b">
        <v>0</v>
      </c>
      <c r="F249" s="189" t="s">
        <v>12</v>
      </c>
      <c r="G249" s="189" t="s">
        <v>10</v>
      </c>
      <c r="H249" s="36" t="str">
        <f t="shared" si="8"/>
        <v>Pig|FALSE|700to900|DrainedAr</v>
      </c>
      <c r="I249" s="133">
        <v>1.166323711495763</v>
      </c>
      <c r="J249" s="133">
        <v>144.43586551358118</v>
      </c>
      <c r="K249" s="36" t="str">
        <f t="shared" si="7"/>
        <v>Pig|700to900</v>
      </c>
      <c r="L249" s="195"/>
      <c r="M249" s="195"/>
      <c r="N249" s="50"/>
      <c r="O249" s="37"/>
      <c r="P249" s="138"/>
    </row>
    <row r="250" spans="2:16" x14ac:dyDescent="0.25">
      <c r="B250" s="137"/>
      <c r="C250" s="189" t="s">
        <v>223</v>
      </c>
      <c r="D250" s="189" t="s">
        <v>42</v>
      </c>
      <c r="E250" s="189" t="b">
        <v>1</v>
      </c>
      <c r="F250" s="189" t="s">
        <v>12</v>
      </c>
      <c r="G250" s="189" t="s">
        <v>10</v>
      </c>
      <c r="H250" s="36" t="str">
        <f t="shared" si="8"/>
        <v>Pig|TRUE|700to900|DrainedAr</v>
      </c>
      <c r="I250" s="133">
        <v>1.0984822115226254</v>
      </c>
      <c r="J250" s="133">
        <v>138.7715752120603</v>
      </c>
      <c r="K250" s="36" t="str">
        <f t="shared" si="7"/>
        <v>Pig|700to900</v>
      </c>
      <c r="L250" s="195"/>
      <c r="M250" s="195"/>
      <c r="N250" s="50"/>
      <c r="O250" s="37"/>
      <c r="P250" s="138"/>
    </row>
    <row r="251" spans="2:16" x14ac:dyDescent="0.25">
      <c r="B251" s="137"/>
      <c r="C251" s="189" t="s">
        <v>223</v>
      </c>
      <c r="D251" s="189" t="s">
        <v>42</v>
      </c>
      <c r="E251" s="189" t="b">
        <v>0</v>
      </c>
      <c r="F251" s="189" t="s">
        <v>12</v>
      </c>
      <c r="G251" s="189" t="s">
        <v>11</v>
      </c>
      <c r="H251" s="36" t="str">
        <f t="shared" si="8"/>
        <v>Pig|FALSE|700to900|DrainedArGr</v>
      </c>
      <c r="I251" s="133">
        <v>1.5941602763531204</v>
      </c>
      <c r="J251" s="133">
        <v>122.6882492947645</v>
      </c>
      <c r="K251" s="36" t="str">
        <f t="shared" si="7"/>
        <v>Pig|700to900</v>
      </c>
      <c r="L251" s="195"/>
      <c r="M251" s="195"/>
      <c r="N251" s="50"/>
      <c r="O251" s="37"/>
      <c r="P251" s="138"/>
    </row>
    <row r="252" spans="2:16" x14ac:dyDescent="0.25">
      <c r="B252" s="137"/>
      <c r="C252" s="189" t="s">
        <v>223</v>
      </c>
      <c r="D252" s="189" t="s">
        <v>42</v>
      </c>
      <c r="E252" s="189" t="b">
        <v>1</v>
      </c>
      <c r="F252" s="189" t="s">
        <v>12</v>
      </c>
      <c r="G252" s="189" t="s">
        <v>11</v>
      </c>
      <c r="H252" s="36" t="str">
        <f t="shared" si="8"/>
        <v>Pig|TRUE|700to900|DrainedArGr</v>
      </c>
      <c r="I252" s="133">
        <v>1.4977341877169454</v>
      </c>
      <c r="J252" s="133">
        <v>114.00811805740508</v>
      </c>
      <c r="K252" s="36" t="str">
        <f t="shared" si="7"/>
        <v>Pig|700to900</v>
      </c>
      <c r="L252" s="195"/>
      <c r="M252" s="195"/>
      <c r="N252" s="50"/>
      <c r="O252" s="37"/>
      <c r="P252" s="138"/>
    </row>
    <row r="253" spans="2:16" x14ac:dyDescent="0.25">
      <c r="B253" s="137"/>
      <c r="C253" s="189" t="s">
        <v>223</v>
      </c>
      <c r="D253" s="189" t="s">
        <v>47</v>
      </c>
      <c r="E253" s="189" t="b">
        <v>0</v>
      </c>
      <c r="F253" s="189" t="s">
        <v>8</v>
      </c>
      <c r="G253" s="189" t="s">
        <v>9</v>
      </c>
      <c r="H253" s="36" t="str">
        <f t="shared" si="8"/>
        <v>Poultry|FALSE|600to700|FreeDrain</v>
      </c>
      <c r="I253" s="133">
        <v>0.16168839245013861</v>
      </c>
      <c r="J253" s="133">
        <v>224.45259200664003</v>
      </c>
      <c r="K253" s="36" t="str">
        <f t="shared" si="7"/>
        <v>Poultry|600to700</v>
      </c>
      <c r="L253" s="203">
        <v>0.41824732227295441</v>
      </c>
      <c r="M253" s="203">
        <v>168.67866079616101</v>
      </c>
      <c r="N253" s="50"/>
      <c r="O253" s="37"/>
      <c r="P253" s="138"/>
    </row>
    <row r="254" spans="2:16" x14ac:dyDescent="0.25">
      <c r="B254" s="137"/>
      <c r="C254" s="189" t="s">
        <v>223</v>
      </c>
      <c r="D254" s="189" t="s">
        <v>47</v>
      </c>
      <c r="E254" s="189" t="b">
        <v>1</v>
      </c>
      <c r="F254" s="189" t="s">
        <v>8</v>
      </c>
      <c r="G254" s="189" t="s">
        <v>9</v>
      </c>
      <c r="H254" s="36" t="str">
        <f t="shared" si="8"/>
        <v>Poultry|TRUE|600to700|FreeDrain</v>
      </c>
      <c r="I254" s="133">
        <v>0.15659616758072631</v>
      </c>
      <c r="J254" s="133">
        <v>225.62792394183521</v>
      </c>
      <c r="K254" s="36" t="str">
        <f t="shared" si="7"/>
        <v>Poultry|600to700</v>
      </c>
      <c r="L254" s="195"/>
      <c r="M254" s="195"/>
      <c r="N254" s="50"/>
      <c r="O254" s="37"/>
      <c r="P254" s="138"/>
    </row>
    <row r="255" spans="2:16" x14ac:dyDescent="0.25">
      <c r="B255" s="137"/>
      <c r="C255" s="189" t="s">
        <v>223</v>
      </c>
      <c r="D255" s="189" t="s">
        <v>47</v>
      </c>
      <c r="E255" s="189" t="b">
        <v>0</v>
      </c>
      <c r="F255" s="189" t="s">
        <v>8</v>
      </c>
      <c r="G255" s="189" t="s">
        <v>10</v>
      </c>
      <c r="H255" s="36" t="str">
        <f t="shared" si="8"/>
        <v>Poultry|FALSE|600to700|DrainedAr</v>
      </c>
      <c r="I255" s="133">
        <v>0.39944233759569264</v>
      </c>
      <c r="J255" s="133">
        <v>145.44062855246011</v>
      </c>
      <c r="K255" s="36" t="str">
        <f t="shared" si="7"/>
        <v>Poultry|600to700</v>
      </c>
      <c r="L255" s="195"/>
      <c r="M255" s="195"/>
      <c r="N255" s="50"/>
      <c r="O255" s="37"/>
      <c r="P255" s="138"/>
    </row>
    <row r="256" spans="2:16" x14ac:dyDescent="0.25">
      <c r="B256" s="137"/>
      <c r="C256" s="189" t="s">
        <v>223</v>
      </c>
      <c r="D256" s="189" t="s">
        <v>47</v>
      </c>
      <c r="E256" s="189" t="b">
        <v>1</v>
      </c>
      <c r="F256" s="189" t="s">
        <v>8</v>
      </c>
      <c r="G256" s="189" t="s">
        <v>10</v>
      </c>
      <c r="H256" s="36" t="str">
        <f t="shared" si="8"/>
        <v>Poultry|TRUE|600to700|DrainedAr</v>
      </c>
      <c r="I256" s="133">
        <v>0.37019858261708999</v>
      </c>
      <c r="J256" s="133">
        <v>139.69533696529135</v>
      </c>
      <c r="K256" s="36" t="str">
        <f t="shared" si="7"/>
        <v>Poultry|600to700</v>
      </c>
      <c r="L256" s="195"/>
      <c r="M256" s="195"/>
      <c r="N256" s="50"/>
      <c r="O256" s="37"/>
      <c r="P256" s="138"/>
    </row>
    <row r="257" spans="2:16" x14ac:dyDescent="0.25">
      <c r="B257" s="137"/>
      <c r="C257" s="189" t="s">
        <v>223</v>
      </c>
      <c r="D257" s="189" t="s">
        <v>47</v>
      </c>
      <c r="E257" s="189" t="b">
        <v>0</v>
      </c>
      <c r="F257" s="189" t="s">
        <v>8</v>
      </c>
      <c r="G257" s="189" t="s">
        <v>11</v>
      </c>
      <c r="H257" s="36" t="str">
        <f t="shared" si="8"/>
        <v>Poultry|FALSE|600to700|DrainedArGr</v>
      </c>
      <c r="I257" s="133">
        <v>0.69361123677303205</v>
      </c>
      <c r="J257" s="133">
        <v>136.14276182938292</v>
      </c>
      <c r="K257" s="36" t="str">
        <f t="shared" si="7"/>
        <v>Poultry|600to700</v>
      </c>
      <c r="L257" s="195"/>
      <c r="M257" s="195"/>
      <c r="N257" s="50"/>
      <c r="O257" s="37"/>
      <c r="P257" s="138"/>
    </row>
    <row r="258" spans="2:16" x14ac:dyDescent="0.25">
      <c r="B258" s="137"/>
      <c r="C258" s="189" t="s">
        <v>223</v>
      </c>
      <c r="D258" s="189" t="s">
        <v>47</v>
      </c>
      <c r="E258" s="189" t="b">
        <v>1</v>
      </c>
      <c r="F258" s="189" t="s">
        <v>8</v>
      </c>
      <c r="G258" s="189" t="s">
        <v>11</v>
      </c>
      <c r="H258" s="36" t="str">
        <f t="shared" si="8"/>
        <v>Poultry|TRUE|600to700|DrainedArGr</v>
      </c>
      <c r="I258" s="133">
        <v>0.65348913336300707</v>
      </c>
      <c r="J258" s="133">
        <v>127.55662582717721</v>
      </c>
      <c r="K258" s="36" t="str">
        <f t="shared" si="7"/>
        <v>Poultry|600to700</v>
      </c>
      <c r="L258" s="195"/>
      <c r="M258" s="195"/>
      <c r="N258" s="50"/>
      <c r="O258" s="37"/>
      <c r="P258" s="138"/>
    </row>
    <row r="259" spans="2:16" x14ac:dyDescent="0.25">
      <c r="B259" s="137"/>
      <c r="C259" s="189" t="s">
        <v>223</v>
      </c>
      <c r="D259" s="189" t="s">
        <v>47</v>
      </c>
      <c r="E259" s="189" t="b">
        <v>1</v>
      </c>
      <c r="F259" s="189" t="s">
        <v>12</v>
      </c>
      <c r="G259" s="189" t="s">
        <v>9</v>
      </c>
      <c r="H259" s="36" t="str">
        <f t="shared" si="8"/>
        <v>Poultry|TRUE|700to900|FreeDrain</v>
      </c>
      <c r="I259" s="133">
        <v>0.33728893256172032</v>
      </c>
      <c r="J259" s="133">
        <v>265.27656929307614</v>
      </c>
      <c r="K259" s="36" t="str">
        <f t="shared" si="7"/>
        <v>Poultry|700to900</v>
      </c>
      <c r="L259" s="203">
        <v>0.76050228144327703</v>
      </c>
      <c r="M259" s="203">
        <v>197.88888357112918</v>
      </c>
      <c r="N259" s="50"/>
      <c r="O259" s="37"/>
      <c r="P259" s="138"/>
    </row>
    <row r="260" spans="2:16" x14ac:dyDescent="0.25">
      <c r="B260" s="137"/>
      <c r="C260" s="189" t="s">
        <v>223</v>
      </c>
      <c r="D260" s="189" t="s">
        <v>47</v>
      </c>
      <c r="E260" s="189" t="b">
        <v>0</v>
      </c>
      <c r="F260" s="189" t="s">
        <v>12</v>
      </c>
      <c r="G260" s="189" t="s">
        <v>10</v>
      </c>
      <c r="H260" s="36" t="str">
        <f t="shared" si="8"/>
        <v>Poultry|FALSE|700to900|DrainedAr</v>
      </c>
      <c r="I260" s="133">
        <v>0.78184252059210557</v>
      </c>
      <c r="J260" s="133">
        <v>180.12284322168583</v>
      </c>
      <c r="K260" s="36" t="str">
        <f t="shared" si="7"/>
        <v>Poultry|700to900</v>
      </c>
      <c r="L260" s="195"/>
      <c r="M260" s="195"/>
      <c r="N260" s="50"/>
      <c r="O260" s="37"/>
      <c r="P260" s="138"/>
    </row>
    <row r="261" spans="2:16" x14ac:dyDescent="0.25">
      <c r="B261" s="137"/>
      <c r="C261" s="189" t="s">
        <v>223</v>
      </c>
      <c r="D261" s="189" t="s">
        <v>47</v>
      </c>
      <c r="E261" s="189" t="b">
        <v>1</v>
      </c>
      <c r="F261" s="189" t="s">
        <v>12</v>
      </c>
      <c r="G261" s="189" t="s">
        <v>10</v>
      </c>
      <c r="H261" s="36" t="str">
        <f t="shared" si="8"/>
        <v>Poultry|TRUE|700to900|DrainedAr</v>
      </c>
      <c r="I261" s="133">
        <v>0.7391604029378771</v>
      </c>
      <c r="J261" s="133">
        <v>172.73924318624947</v>
      </c>
      <c r="K261" s="36" t="str">
        <f t="shared" si="7"/>
        <v>Poultry|700to900</v>
      </c>
      <c r="L261" s="195"/>
      <c r="M261" s="195"/>
      <c r="N261" s="50"/>
      <c r="O261" s="37"/>
      <c r="P261" s="138"/>
    </row>
    <row r="262" spans="2:16" x14ac:dyDescent="0.25">
      <c r="B262" s="137"/>
      <c r="C262" s="189" t="s">
        <v>223</v>
      </c>
      <c r="D262" s="189" t="s">
        <v>47</v>
      </c>
      <c r="E262" s="189" t="b">
        <v>0</v>
      </c>
      <c r="F262" s="189" t="s">
        <v>12</v>
      </c>
      <c r="G262" s="189" t="s">
        <v>11</v>
      </c>
      <c r="H262" s="36" t="str">
        <f t="shared" si="8"/>
        <v>Poultry|FALSE|700to900|DrainedArGr</v>
      </c>
      <c r="I262" s="133">
        <v>1.1623753911760051</v>
      </c>
      <c r="J262" s="133">
        <v>148.26723819862559</v>
      </c>
      <c r="K262" s="36" t="str">
        <f t="shared" si="7"/>
        <v>Poultry|700to900</v>
      </c>
      <c r="L262" s="195"/>
      <c r="M262" s="195"/>
      <c r="N262" s="50"/>
      <c r="O262" s="37"/>
      <c r="P262" s="138"/>
    </row>
    <row r="263" spans="2:16" x14ac:dyDescent="0.25">
      <c r="B263" s="137"/>
      <c r="C263" s="189" t="s">
        <v>223</v>
      </c>
      <c r="D263" s="189" t="s">
        <v>47</v>
      </c>
      <c r="E263" s="189" t="b">
        <v>1</v>
      </c>
      <c r="F263" s="189" t="s">
        <v>12</v>
      </c>
      <c r="G263" s="189" t="s">
        <v>11</v>
      </c>
      <c r="H263" s="36" t="str">
        <f t="shared" si="8"/>
        <v>Poultry|TRUE|700to900|DrainedArGr</v>
      </c>
      <c r="I263" s="133">
        <v>1.1043751259549854</v>
      </c>
      <c r="J263" s="133">
        <v>137.17426858507116</v>
      </c>
      <c r="K263" s="36" t="str">
        <f t="shared" si="7"/>
        <v>Poultry|700to900</v>
      </c>
      <c r="L263" s="195"/>
      <c r="M263" s="195"/>
      <c r="N263" s="50"/>
      <c r="O263" s="37"/>
      <c r="P263" s="138"/>
    </row>
    <row r="264" spans="2:16" x14ac:dyDescent="0.25">
      <c r="B264" s="137"/>
      <c r="C264" s="189" t="s">
        <v>223</v>
      </c>
      <c r="D264" s="189" t="s">
        <v>55</v>
      </c>
      <c r="E264" s="189" t="b">
        <v>1</v>
      </c>
      <c r="F264" s="189" t="s">
        <v>8</v>
      </c>
      <c r="G264" s="189" t="s">
        <v>9</v>
      </c>
      <c r="H264" s="36" t="str">
        <f t="shared" si="8"/>
        <v>Dairy|TRUE|600to700|FreeDrain</v>
      </c>
      <c r="I264" s="133">
        <v>0.26463185531866273</v>
      </c>
      <c r="J264" s="133">
        <v>67.914028425516733</v>
      </c>
      <c r="K264" s="36" t="str">
        <f t="shared" si="7"/>
        <v>Dairy|600to700</v>
      </c>
      <c r="L264" s="203">
        <v>0.83805657917868992</v>
      </c>
      <c r="M264" s="203">
        <v>50.268198791133933</v>
      </c>
      <c r="N264" s="50"/>
      <c r="O264" s="37"/>
      <c r="P264" s="138"/>
    </row>
    <row r="265" spans="2:16" x14ac:dyDescent="0.25">
      <c r="B265" s="137"/>
      <c r="C265" s="189" t="s">
        <v>223</v>
      </c>
      <c r="D265" s="189" t="s">
        <v>55</v>
      </c>
      <c r="E265" s="189" t="b">
        <v>0</v>
      </c>
      <c r="F265" s="189" t="s">
        <v>8</v>
      </c>
      <c r="G265" s="189" t="s">
        <v>10</v>
      </c>
      <c r="H265" s="36" t="str">
        <f t="shared" si="8"/>
        <v>Dairy|FALSE|600to700|DrainedAr</v>
      </c>
      <c r="I265" s="133">
        <v>0.53661929658455831</v>
      </c>
      <c r="J265" s="133">
        <v>46.100973538275682</v>
      </c>
      <c r="K265" s="36" t="str">
        <f t="shared" si="7"/>
        <v>Dairy|600to700</v>
      </c>
      <c r="L265" s="195"/>
      <c r="M265" s="195"/>
      <c r="N265" s="50"/>
      <c r="O265" s="37"/>
      <c r="P265" s="138"/>
    </row>
    <row r="266" spans="2:16" x14ac:dyDescent="0.25">
      <c r="B266" s="137"/>
      <c r="C266" s="189" t="s">
        <v>223</v>
      </c>
      <c r="D266" s="189" t="s">
        <v>55</v>
      </c>
      <c r="E266" s="189" t="b">
        <v>1</v>
      </c>
      <c r="F266" s="189" t="s">
        <v>8</v>
      </c>
      <c r="G266" s="189" t="s">
        <v>10</v>
      </c>
      <c r="H266" s="36" t="str">
        <f t="shared" si="8"/>
        <v>Dairy|TRUE|600to700|DrainedAr</v>
      </c>
      <c r="I266" s="133">
        <v>0.53112000301053064</v>
      </c>
      <c r="J266" s="133">
        <v>45.612105751434768</v>
      </c>
      <c r="K266" s="36" t="str">
        <f t="shared" si="7"/>
        <v>Dairy|600to700</v>
      </c>
      <c r="L266" s="195"/>
      <c r="M266" s="195"/>
      <c r="N266" s="50"/>
      <c r="O266" s="37"/>
      <c r="P266" s="138"/>
    </row>
    <row r="267" spans="2:16" x14ac:dyDescent="0.25">
      <c r="B267" s="137"/>
      <c r="C267" s="189" t="s">
        <v>223</v>
      </c>
      <c r="D267" s="189" t="s">
        <v>55</v>
      </c>
      <c r="E267" s="189" t="b">
        <v>0</v>
      </c>
      <c r="F267" s="189" t="s">
        <v>8</v>
      </c>
      <c r="G267" s="189" t="s">
        <v>11</v>
      </c>
      <c r="H267" s="36" t="str">
        <f t="shared" si="8"/>
        <v>Dairy|FALSE|600to700|DrainedArGr</v>
      </c>
      <c r="I267" s="133">
        <v>1.7129185856328488</v>
      </c>
      <c r="J267" s="133">
        <v>36.7895944096094</v>
      </c>
      <c r="K267" s="36" t="str">
        <f t="shared" si="7"/>
        <v>Dairy|600to700</v>
      </c>
      <c r="L267" s="195"/>
      <c r="M267" s="195"/>
      <c r="N267" s="50"/>
      <c r="O267" s="37"/>
      <c r="P267" s="138"/>
    </row>
    <row r="268" spans="2:16" x14ac:dyDescent="0.25">
      <c r="B268" s="137"/>
      <c r="C268" s="189" t="s">
        <v>223</v>
      </c>
      <c r="D268" s="189" t="s">
        <v>55</v>
      </c>
      <c r="E268" s="189" t="b">
        <v>1</v>
      </c>
      <c r="F268" s="189" t="s">
        <v>8</v>
      </c>
      <c r="G268" s="189" t="s">
        <v>11</v>
      </c>
      <c r="H268" s="36" t="str">
        <f t="shared" si="8"/>
        <v>Dairy|TRUE|600to700|DrainedArGr</v>
      </c>
      <c r="I268" s="133">
        <v>1.6613001212764889</v>
      </c>
      <c r="J268" s="133">
        <v>36.091274312382559</v>
      </c>
      <c r="K268" s="36" t="str">
        <f t="shared" si="7"/>
        <v>Dairy|600to700</v>
      </c>
      <c r="L268" s="195"/>
      <c r="M268" s="195"/>
      <c r="N268" s="50"/>
      <c r="O268" s="37"/>
      <c r="P268" s="138"/>
    </row>
    <row r="269" spans="2:16" x14ac:dyDescent="0.25">
      <c r="B269" s="137"/>
      <c r="C269" s="189" t="s">
        <v>223</v>
      </c>
      <c r="D269" s="189" t="s">
        <v>55</v>
      </c>
      <c r="E269" s="189" t="b">
        <v>1</v>
      </c>
      <c r="F269" s="189" t="s">
        <v>12</v>
      </c>
      <c r="G269" s="189" t="s">
        <v>11</v>
      </c>
      <c r="H269" s="36" t="str">
        <f t="shared" si="8"/>
        <v>Dairy|TRUE|700to900|DrainedArGr</v>
      </c>
      <c r="I269" s="133">
        <v>2.4839324101613851</v>
      </c>
      <c r="J269" s="133">
        <v>42.68256924007467</v>
      </c>
      <c r="K269" s="36" t="str">
        <f t="shared" si="7"/>
        <v>Dairy|700to900</v>
      </c>
      <c r="L269" s="203">
        <v>2.4839324101613851</v>
      </c>
      <c r="M269" s="203">
        <v>42.68256924007467</v>
      </c>
      <c r="N269" s="50"/>
      <c r="O269" s="37"/>
      <c r="P269" s="138"/>
    </row>
    <row r="270" spans="2:16" x14ac:dyDescent="0.25">
      <c r="B270" s="137"/>
      <c r="C270" s="189" t="s">
        <v>223</v>
      </c>
      <c r="D270" s="189" t="s">
        <v>58</v>
      </c>
      <c r="E270" s="189" t="b">
        <v>0</v>
      </c>
      <c r="F270" s="189" t="s">
        <v>8</v>
      </c>
      <c r="G270" s="189" t="s">
        <v>9</v>
      </c>
      <c r="H270" s="36" t="str">
        <f t="shared" si="8"/>
        <v>Lowland|FALSE|600to700|FreeDrain</v>
      </c>
      <c r="I270" s="133">
        <v>4.7161391105900896E-2</v>
      </c>
      <c r="J270" s="133">
        <v>8.3141087796331874</v>
      </c>
      <c r="K270" s="36" t="str">
        <f t="shared" si="7"/>
        <v>Lowland|600to700</v>
      </c>
      <c r="L270" s="203">
        <v>0.1249487288325609</v>
      </c>
      <c r="M270" s="203">
        <v>6.2950710058022175</v>
      </c>
      <c r="N270" s="50"/>
      <c r="O270" s="37"/>
      <c r="P270" s="138"/>
    </row>
    <row r="271" spans="2:16" x14ac:dyDescent="0.25">
      <c r="B271" s="137"/>
      <c r="C271" s="189" t="s">
        <v>223</v>
      </c>
      <c r="D271" s="189" t="s">
        <v>58</v>
      </c>
      <c r="E271" s="189" t="b">
        <v>1</v>
      </c>
      <c r="F271" s="189" t="s">
        <v>8</v>
      </c>
      <c r="G271" s="189" t="s">
        <v>9</v>
      </c>
      <c r="H271" s="36" t="str">
        <f t="shared" si="8"/>
        <v>Lowland|TRUE|600to700|FreeDrain</v>
      </c>
      <c r="I271" s="133">
        <v>4.716127320743746E-2</v>
      </c>
      <c r="J271" s="133">
        <v>8.252088028908787</v>
      </c>
      <c r="K271" s="36" t="str">
        <f t="shared" si="7"/>
        <v>Lowland|600to700</v>
      </c>
      <c r="L271" s="195"/>
      <c r="M271" s="195"/>
      <c r="N271" s="50"/>
      <c r="O271" s="37"/>
      <c r="P271" s="138"/>
    </row>
    <row r="272" spans="2:16" x14ac:dyDescent="0.25">
      <c r="B272" s="137"/>
      <c r="C272" s="189" t="s">
        <v>223</v>
      </c>
      <c r="D272" s="189" t="s">
        <v>58</v>
      </c>
      <c r="E272" s="189" t="b">
        <v>0</v>
      </c>
      <c r="F272" s="189" t="s">
        <v>8</v>
      </c>
      <c r="G272" s="189" t="s">
        <v>10</v>
      </c>
      <c r="H272" s="36" t="str">
        <f t="shared" si="8"/>
        <v>Lowland|FALSE|600to700|DrainedAr</v>
      </c>
      <c r="I272" s="133">
        <v>7.3642790082301721E-2</v>
      </c>
      <c r="J272" s="133">
        <v>5.671315782078012</v>
      </c>
      <c r="K272" s="36" t="str">
        <f t="shared" si="7"/>
        <v>Lowland|600to700</v>
      </c>
      <c r="L272" s="195"/>
      <c r="M272" s="195"/>
      <c r="N272" s="50"/>
      <c r="O272" s="37"/>
      <c r="P272" s="138"/>
    </row>
    <row r="273" spans="2:16" x14ac:dyDescent="0.25">
      <c r="B273" s="137"/>
      <c r="C273" s="189" t="s">
        <v>223</v>
      </c>
      <c r="D273" s="189" t="s">
        <v>58</v>
      </c>
      <c r="E273" s="189" t="b">
        <v>1</v>
      </c>
      <c r="F273" s="189" t="s">
        <v>8</v>
      </c>
      <c r="G273" s="189" t="s">
        <v>10</v>
      </c>
      <c r="H273" s="36" t="str">
        <f t="shared" si="8"/>
        <v>Lowland|TRUE|600to700|DrainedAr</v>
      </c>
      <c r="I273" s="133">
        <v>7.364261226503524E-2</v>
      </c>
      <c r="J273" s="133">
        <v>5.6312331618029043</v>
      </c>
      <c r="K273" s="36" t="str">
        <f t="shared" si="7"/>
        <v>Lowland|600to700</v>
      </c>
      <c r="L273" s="195"/>
      <c r="M273" s="195"/>
      <c r="N273" s="50"/>
      <c r="O273" s="37"/>
      <c r="P273" s="138"/>
    </row>
    <row r="274" spans="2:16" x14ac:dyDescent="0.25">
      <c r="B274" s="137"/>
      <c r="C274" s="189" t="s">
        <v>223</v>
      </c>
      <c r="D274" s="189" t="s">
        <v>58</v>
      </c>
      <c r="E274" s="189" t="b">
        <v>0</v>
      </c>
      <c r="F274" s="189" t="s">
        <v>8</v>
      </c>
      <c r="G274" s="189" t="s">
        <v>11</v>
      </c>
      <c r="H274" s="36" t="str">
        <f t="shared" si="8"/>
        <v>Lowland|FALSE|600to700|DrainedArGr</v>
      </c>
      <c r="I274" s="133">
        <v>0.25404200530948007</v>
      </c>
      <c r="J274" s="133">
        <v>4.899788455695453</v>
      </c>
      <c r="K274" s="36" t="str">
        <f t="shared" si="7"/>
        <v>Lowland|600to700</v>
      </c>
      <c r="L274" s="195"/>
      <c r="M274" s="195"/>
      <c r="N274" s="50"/>
      <c r="O274" s="37"/>
      <c r="P274" s="138"/>
    </row>
    <row r="275" spans="2:16" x14ac:dyDescent="0.25">
      <c r="B275" s="137"/>
      <c r="C275" s="189" t="s">
        <v>223</v>
      </c>
      <c r="D275" s="189" t="s">
        <v>58</v>
      </c>
      <c r="E275" s="189" t="b">
        <v>1</v>
      </c>
      <c r="F275" s="189" t="s">
        <v>8</v>
      </c>
      <c r="G275" s="189" t="s">
        <v>11</v>
      </c>
      <c r="H275" s="36" t="str">
        <f t="shared" si="8"/>
        <v>Lowland|TRUE|600to700|DrainedArGr</v>
      </c>
      <c r="I275" s="133">
        <v>0.25402535797986248</v>
      </c>
      <c r="J275" s="133">
        <v>4.8858293205657155</v>
      </c>
      <c r="K275" s="36" t="str">
        <f t="shared" si="7"/>
        <v>Lowland|600to700</v>
      </c>
      <c r="L275" s="195"/>
      <c r="M275" s="195"/>
      <c r="N275" s="50"/>
      <c r="O275" s="37"/>
      <c r="P275" s="138"/>
    </row>
    <row r="276" spans="2:16" x14ac:dyDescent="0.25">
      <c r="B276" s="137"/>
      <c r="C276" s="189" t="s">
        <v>223</v>
      </c>
      <c r="D276" s="189" t="s">
        <v>58</v>
      </c>
      <c r="E276" s="189" t="b">
        <v>1</v>
      </c>
      <c r="F276" s="189" t="s">
        <v>12</v>
      </c>
      <c r="G276" s="189" t="s">
        <v>9</v>
      </c>
      <c r="H276" s="36" t="str">
        <f t="shared" si="8"/>
        <v>Lowland|TRUE|700to900|FreeDrain</v>
      </c>
      <c r="I276" s="133">
        <v>7.9131930462383385E-2</v>
      </c>
      <c r="J276" s="133">
        <v>11.336420841886477</v>
      </c>
      <c r="K276" s="36" t="str">
        <f t="shared" si="7"/>
        <v>Lowland|700to900</v>
      </c>
      <c r="L276" s="203">
        <v>0.11213456316261412</v>
      </c>
      <c r="M276" s="203">
        <v>9.6954373797661972</v>
      </c>
      <c r="N276" s="50"/>
      <c r="O276" s="37"/>
      <c r="P276" s="138"/>
    </row>
    <row r="277" spans="2:16" x14ac:dyDescent="0.25">
      <c r="B277" s="137"/>
      <c r="C277" s="189" t="s">
        <v>223</v>
      </c>
      <c r="D277" s="189" t="s">
        <v>58</v>
      </c>
      <c r="E277" s="189" t="b">
        <v>0</v>
      </c>
      <c r="F277" s="189" t="s">
        <v>12</v>
      </c>
      <c r="G277" s="189" t="s">
        <v>10</v>
      </c>
      <c r="H277" s="36" t="str">
        <f t="shared" si="8"/>
        <v>Lowland|FALSE|700to900|DrainedAr</v>
      </c>
      <c r="I277" s="133">
        <v>0.12863599596369241</v>
      </c>
      <c r="J277" s="133">
        <v>8.9063343491579943</v>
      </c>
      <c r="K277" s="36" t="str">
        <f t="shared" si="7"/>
        <v>Lowland|700to900</v>
      </c>
      <c r="L277" s="195"/>
      <c r="M277" s="195"/>
      <c r="N277" s="50"/>
      <c r="O277" s="37"/>
      <c r="P277" s="138"/>
    </row>
    <row r="278" spans="2:16" x14ac:dyDescent="0.25">
      <c r="B278" s="137"/>
      <c r="C278" s="189" t="s">
        <v>223</v>
      </c>
      <c r="D278" s="189" t="s">
        <v>58</v>
      </c>
      <c r="E278" s="189" t="b">
        <v>1</v>
      </c>
      <c r="F278" s="189" t="s">
        <v>12</v>
      </c>
      <c r="G278" s="189" t="s">
        <v>10</v>
      </c>
      <c r="H278" s="36" t="str">
        <f t="shared" si="8"/>
        <v>Lowland|TRUE|700to900|DrainedAr</v>
      </c>
      <c r="I278" s="133">
        <v>0.12863576306176661</v>
      </c>
      <c r="J278" s="133">
        <v>8.8435569482541183</v>
      </c>
      <c r="K278" s="36" t="str">
        <f t="shared" si="7"/>
        <v>Lowland|700to900</v>
      </c>
      <c r="L278" s="195"/>
      <c r="M278" s="195"/>
      <c r="N278" s="50"/>
      <c r="O278" s="37"/>
      <c r="P278" s="138"/>
    </row>
    <row r="279" spans="2:16" x14ac:dyDescent="0.25">
      <c r="B279" s="137"/>
      <c r="C279" s="189" t="s">
        <v>223</v>
      </c>
      <c r="D279" s="189" t="s">
        <v>58</v>
      </c>
      <c r="E279" s="189" t="b">
        <v>0</v>
      </c>
      <c r="F279" s="189" t="s">
        <v>12</v>
      </c>
      <c r="G279" s="189" t="s">
        <v>11</v>
      </c>
      <c r="H279" s="36" t="str">
        <f t="shared" si="8"/>
        <v>Lowland|FALSE|700to900|DrainedArGr</v>
      </c>
      <c r="I279" s="133">
        <v>0.39737496507766984</v>
      </c>
      <c r="J279" s="133">
        <v>5.9548753526050584</v>
      </c>
      <c r="K279" s="36" t="str">
        <f t="shared" si="7"/>
        <v>Lowland|700to900</v>
      </c>
      <c r="L279" s="195"/>
      <c r="M279" s="195"/>
      <c r="N279" s="50"/>
      <c r="O279" s="37"/>
      <c r="P279" s="138"/>
    </row>
    <row r="280" spans="2:16" x14ac:dyDescent="0.25">
      <c r="B280" s="137"/>
      <c r="C280" s="189" t="s">
        <v>223</v>
      </c>
      <c r="D280" s="189" t="s">
        <v>58</v>
      </c>
      <c r="E280" s="189" t="b">
        <v>1</v>
      </c>
      <c r="F280" s="189" t="s">
        <v>12</v>
      </c>
      <c r="G280" s="189" t="s">
        <v>11</v>
      </c>
      <c r="H280" s="36" t="str">
        <f t="shared" si="8"/>
        <v>Lowland|TRUE|700to900|DrainedArGr</v>
      </c>
      <c r="I280" s="133">
        <v>0.39735480988359773</v>
      </c>
      <c r="J280" s="133">
        <v>5.9390947895498094</v>
      </c>
      <c r="K280" s="36" t="str">
        <f t="shared" si="7"/>
        <v>Lowland|700to900</v>
      </c>
      <c r="L280" s="195"/>
      <c r="M280" s="195"/>
      <c r="N280" s="50"/>
      <c r="O280" s="37"/>
      <c r="P280" s="138"/>
    </row>
    <row r="281" spans="2:16" x14ac:dyDescent="0.25">
      <c r="B281" s="137"/>
      <c r="C281" s="189" t="s">
        <v>223</v>
      </c>
      <c r="D281" s="189" t="s">
        <v>58</v>
      </c>
      <c r="E281" s="189" t="b">
        <v>1</v>
      </c>
      <c r="F281" s="189" t="s">
        <v>28</v>
      </c>
      <c r="G281" s="189" t="s">
        <v>10</v>
      </c>
      <c r="H281" s="36" t="str">
        <f t="shared" si="8"/>
        <v>Lowland|TRUE|Over1500|DrainedAr</v>
      </c>
      <c r="I281" s="133">
        <v>0.44266178760683916</v>
      </c>
      <c r="J281" s="133">
        <v>14.092226976685108</v>
      </c>
      <c r="K281" s="36" t="str">
        <f t="shared" si="7"/>
        <v>Lowland|Over1500</v>
      </c>
      <c r="L281" s="203">
        <v>0.44266178760683916</v>
      </c>
      <c r="M281" s="203">
        <v>14.092226976685108</v>
      </c>
      <c r="N281" s="50"/>
      <c r="O281" s="37"/>
      <c r="P281" s="138"/>
    </row>
    <row r="282" spans="2:16" x14ac:dyDescent="0.25">
      <c r="B282" s="137"/>
      <c r="C282" s="189" t="s">
        <v>223</v>
      </c>
      <c r="D282" s="189" t="s">
        <v>59</v>
      </c>
      <c r="E282" s="189" t="b">
        <v>0</v>
      </c>
      <c r="F282" s="189" t="s">
        <v>8</v>
      </c>
      <c r="G282" s="189" t="s">
        <v>9</v>
      </c>
      <c r="H282" s="36" t="str">
        <f t="shared" si="8"/>
        <v>Mixed|FALSE|600to700|FreeDrain</v>
      </c>
      <c r="I282" s="133">
        <v>0.12581615202858673</v>
      </c>
      <c r="J282" s="133">
        <v>51.359981182844685</v>
      </c>
      <c r="K282" s="36" t="str">
        <f t="shared" si="7"/>
        <v>Mixed|600to700</v>
      </c>
      <c r="L282" s="203">
        <v>0.53261656450243866</v>
      </c>
      <c r="M282" s="203">
        <v>40.653014520648505</v>
      </c>
      <c r="N282" s="50"/>
      <c r="O282" s="37"/>
      <c r="P282" s="138"/>
    </row>
    <row r="283" spans="2:16" x14ac:dyDescent="0.25">
      <c r="B283" s="137"/>
      <c r="C283" s="189" t="s">
        <v>223</v>
      </c>
      <c r="D283" s="189" t="s">
        <v>59</v>
      </c>
      <c r="E283" s="189" t="b">
        <v>1</v>
      </c>
      <c r="F283" s="189" t="s">
        <v>8</v>
      </c>
      <c r="G283" s="189" t="s">
        <v>9</v>
      </c>
      <c r="H283" s="36" t="str">
        <f t="shared" si="8"/>
        <v>Mixed|TRUE|600to700|FreeDrain</v>
      </c>
      <c r="I283" s="133">
        <v>0.12516742766510505</v>
      </c>
      <c r="J283" s="133">
        <v>51.214821729942507</v>
      </c>
      <c r="K283" s="36" t="str">
        <f t="shared" si="7"/>
        <v>Mixed|600to700</v>
      </c>
      <c r="L283" s="195"/>
      <c r="M283" s="195"/>
      <c r="N283" s="50"/>
      <c r="O283" s="37"/>
      <c r="P283" s="138"/>
    </row>
    <row r="284" spans="2:16" x14ac:dyDescent="0.25">
      <c r="B284" s="137"/>
      <c r="C284" s="189" t="s">
        <v>223</v>
      </c>
      <c r="D284" s="189" t="s">
        <v>59</v>
      </c>
      <c r="E284" s="189" t="b">
        <v>0</v>
      </c>
      <c r="F284" s="189" t="s">
        <v>8</v>
      </c>
      <c r="G284" s="189" t="s">
        <v>10</v>
      </c>
      <c r="H284" s="36" t="str">
        <f t="shared" si="8"/>
        <v>Mixed|FALSE|600to700|DrainedAr</v>
      </c>
      <c r="I284" s="133">
        <v>0.48979665877027506</v>
      </c>
      <c r="J284" s="133">
        <v>35.421673217182473</v>
      </c>
      <c r="K284" s="36" t="str">
        <f t="shared" si="7"/>
        <v>Mixed|600to700</v>
      </c>
      <c r="L284" s="195"/>
      <c r="M284" s="195"/>
      <c r="N284" s="50"/>
      <c r="O284" s="37"/>
      <c r="P284" s="138"/>
    </row>
    <row r="285" spans="2:16" x14ac:dyDescent="0.25">
      <c r="B285" s="137"/>
      <c r="C285" s="189" t="s">
        <v>223</v>
      </c>
      <c r="D285" s="189" t="s">
        <v>59</v>
      </c>
      <c r="E285" s="189" t="b">
        <v>1</v>
      </c>
      <c r="F285" s="189" t="s">
        <v>8</v>
      </c>
      <c r="G285" s="189" t="s">
        <v>10</v>
      </c>
      <c r="H285" s="36" t="str">
        <f t="shared" si="8"/>
        <v>Mixed|TRUE|600to700|DrainedAr</v>
      </c>
      <c r="I285" s="133">
        <v>0.48491203262512267</v>
      </c>
      <c r="J285" s="133">
        <v>34.968145030370017</v>
      </c>
      <c r="K285" s="36" t="str">
        <f t="shared" si="7"/>
        <v>Mixed|600to700</v>
      </c>
      <c r="L285" s="195"/>
      <c r="M285" s="195"/>
      <c r="N285" s="50"/>
      <c r="O285" s="37"/>
      <c r="P285" s="138"/>
    </row>
    <row r="286" spans="2:16" x14ac:dyDescent="0.25">
      <c r="B286" s="137"/>
      <c r="C286" s="189" t="s">
        <v>223</v>
      </c>
      <c r="D286" s="189" t="s">
        <v>59</v>
      </c>
      <c r="E286" s="189" t="b">
        <v>0</v>
      </c>
      <c r="F286" s="189" t="s">
        <v>8</v>
      </c>
      <c r="G286" s="189" t="s">
        <v>11</v>
      </c>
      <c r="H286" s="36" t="str">
        <f t="shared" si="8"/>
        <v>Mixed|FALSE|600to700|DrainedArGr</v>
      </c>
      <c r="I286" s="133">
        <v>0.98223688270845422</v>
      </c>
      <c r="J286" s="133">
        <v>35.177389161918363</v>
      </c>
      <c r="K286" s="36" t="str">
        <f t="shared" si="7"/>
        <v>Mixed|600to700</v>
      </c>
      <c r="L286" s="195"/>
      <c r="M286" s="195"/>
      <c r="N286" s="50"/>
      <c r="O286" s="37"/>
      <c r="P286" s="138"/>
    </row>
    <row r="287" spans="2:16" x14ac:dyDescent="0.25">
      <c r="B287" s="137"/>
      <c r="C287" s="189" t="s">
        <v>223</v>
      </c>
      <c r="D287" s="189" t="s">
        <v>59</v>
      </c>
      <c r="E287" s="189" t="b">
        <v>1</v>
      </c>
      <c r="F287" s="189" t="s">
        <v>8</v>
      </c>
      <c r="G287" s="189" t="s">
        <v>11</v>
      </c>
      <c r="H287" s="36" t="str">
        <f t="shared" si="8"/>
        <v>Mixed|TRUE|600to700|DrainedArGr</v>
      </c>
      <c r="I287" s="133">
        <v>0.97325204807175314</v>
      </c>
      <c r="J287" s="133">
        <v>34.570387367895933</v>
      </c>
      <c r="K287" s="36" t="str">
        <f t="shared" si="7"/>
        <v>Mixed|600to700</v>
      </c>
      <c r="L287" s="195"/>
      <c r="M287" s="195"/>
      <c r="N287" s="50"/>
      <c r="O287" s="37"/>
      <c r="P287" s="138"/>
    </row>
    <row r="288" spans="2:16" x14ac:dyDescent="0.25">
      <c r="B288" s="137"/>
      <c r="C288" s="189" t="s">
        <v>223</v>
      </c>
      <c r="D288" s="189" t="s">
        <v>59</v>
      </c>
      <c r="E288" s="189" t="b">
        <v>1</v>
      </c>
      <c r="F288" s="189" t="s">
        <v>12</v>
      </c>
      <c r="G288" s="189" t="s">
        <v>9</v>
      </c>
      <c r="H288" s="36" t="str">
        <f t="shared" si="8"/>
        <v>Mixed|TRUE|700to900|FreeDrain</v>
      </c>
      <c r="I288" s="133">
        <v>0.29500871939302109</v>
      </c>
      <c r="J288" s="133">
        <v>62.642584669810894</v>
      </c>
      <c r="K288" s="36" t="str">
        <f t="shared" si="7"/>
        <v>Mixed|700to900</v>
      </c>
      <c r="L288" s="203">
        <v>0.98289797090983644</v>
      </c>
      <c r="M288" s="203">
        <v>49.225842553320426</v>
      </c>
      <c r="N288" s="50"/>
      <c r="O288" s="37"/>
      <c r="P288" s="138"/>
    </row>
    <row r="289" spans="2:16" x14ac:dyDescent="0.25">
      <c r="B289" s="137"/>
      <c r="C289" s="189" t="s">
        <v>223</v>
      </c>
      <c r="D289" s="189" t="s">
        <v>59</v>
      </c>
      <c r="E289" s="189" t="b">
        <v>0</v>
      </c>
      <c r="F289" s="189" t="s">
        <v>12</v>
      </c>
      <c r="G289" s="189" t="s">
        <v>10</v>
      </c>
      <c r="H289" s="36" t="str">
        <f t="shared" si="8"/>
        <v>Mixed|FALSE|700to900|DrainedAr</v>
      </c>
      <c r="I289" s="133">
        <v>1.005252745684281</v>
      </c>
      <c r="J289" s="133">
        <v>46.138814189933214</v>
      </c>
      <c r="K289" s="36" t="str">
        <f t="shared" si="7"/>
        <v>Mixed|700to900</v>
      </c>
      <c r="L289" s="195"/>
      <c r="M289" s="195"/>
      <c r="N289" s="50"/>
      <c r="O289" s="37"/>
      <c r="P289" s="138"/>
    </row>
    <row r="290" spans="2:16" x14ac:dyDescent="0.25">
      <c r="B290" s="137"/>
      <c r="C290" s="189" t="s">
        <v>223</v>
      </c>
      <c r="D290" s="189" t="s">
        <v>59</v>
      </c>
      <c r="E290" s="189" t="b">
        <v>1</v>
      </c>
      <c r="F290" s="189" t="s">
        <v>12</v>
      </c>
      <c r="G290" s="189" t="s">
        <v>10</v>
      </c>
      <c r="H290" s="36" t="str">
        <f t="shared" si="8"/>
        <v>Mixed|TRUE|700to900|DrainedAr</v>
      </c>
      <c r="I290" s="133">
        <v>0.99934496996485012</v>
      </c>
      <c r="J290" s="133">
        <v>45.548499202641274</v>
      </c>
      <c r="K290" s="36" t="str">
        <f t="shared" si="7"/>
        <v>Mixed|700to900</v>
      </c>
      <c r="L290" s="195"/>
      <c r="M290" s="195"/>
      <c r="N290" s="50"/>
      <c r="O290" s="37"/>
      <c r="P290" s="138"/>
    </row>
    <row r="291" spans="2:16" x14ac:dyDescent="0.25">
      <c r="B291" s="137"/>
      <c r="C291" s="189" t="s">
        <v>223</v>
      </c>
      <c r="D291" s="189" t="s">
        <v>59</v>
      </c>
      <c r="E291" s="189" t="b">
        <v>0</v>
      </c>
      <c r="F291" s="189" t="s">
        <v>12</v>
      </c>
      <c r="G291" s="189" t="s">
        <v>11</v>
      </c>
      <c r="H291" s="36" t="str">
        <f t="shared" si="8"/>
        <v>Mixed|FALSE|700to900|DrainedArGr</v>
      </c>
      <c r="I291" s="133">
        <v>1.6484324476522072</v>
      </c>
      <c r="J291" s="133">
        <v>38.896128800217149</v>
      </c>
      <c r="K291" s="36" t="str">
        <f t="shared" si="7"/>
        <v>Mixed|700to900</v>
      </c>
      <c r="L291" s="195"/>
      <c r="M291" s="195"/>
      <c r="N291" s="50"/>
      <c r="O291" s="37"/>
      <c r="P291" s="138"/>
    </row>
    <row r="292" spans="2:16" x14ac:dyDescent="0.25">
      <c r="B292" s="137"/>
      <c r="C292" s="189" t="s">
        <v>223</v>
      </c>
      <c r="D292" s="189" t="s">
        <v>59</v>
      </c>
      <c r="E292" s="189" t="b">
        <v>1</v>
      </c>
      <c r="F292" s="189" t="s">
        <v>12</v>
      </c>
      <c r="G292" s="189" t="s">
        <v>11</v>
      </c>
      <c r="H292" s="36" t="str">
        <f t="shared" si="8"/>
        <v>Mixed|TRUE|700to900|DrainedArGr</v>
      </c>
      <c r="I292" s="133">
        <v>1.637770163638111</v>
      </c>
      <c r="J292" s="133">
        <v>38.135717857330476</v>
      </c>
      <c r="K292" s="36" t="str">
        <f t="shared" si="7"/>
        <v>Mixed|700to900</v>
      </c>
      <c r="L292" s="195"/>
      <c r="M292" s="195"/>
      <c r="N292" s="50"/>
      <c r="O292" s="37"/>
      <c r="P292" s="138"/>
    </row>
    <row r="293" spans="2:16" x14ac:dyDescent="0.25">
      <c r="B293" s="137"/>
      <c r="C293" s="189" t="s">
        <v>111</v>
      </c>
      <c r="D293" s="189" t="s">
        <v>111</v>
      </c>
      <c r="E293" s="189" t="s">
        <v>111</v>
      </c>
      <c r="F293" s="189" t="s">
        <v>111</v>
      </c>
      <c r="G293" s="206" t="s">
        <v>60</v>
      </c>
      <c r="H293" s="47" t="str">
        <f>"|"&amp;"|"&amp;"|"&amp;G293</f>
        <v>|||Greenspace</v>
      </c>
      <c r="I293" s="207">
        <v>0.02</v>
      </c>
      <c r="J293" s="133">
        <v>3</v>
      </c>
      <c r="K293" s="36"/>
      <c r="L293" s="27"/>
      <c r="M293" s="27"/>
      <c r="N293" s="27"/>
      <c r="O293" s="27"/>
      <c r="P293" s="138"/>
    </row>
    <row r="294" spans="2:16" x14ac:dyDescent="0.25">
      <c r="B294" s="137"/>
      <c r="C294" s="189" t="s">
        <v>111</v>
      </c>
      <c r="D294" s="189" t="s">
        <v>111</v>
      </c>
      <c r="E294" s="189" t="s">
        <v>111</v>
      </c>
      <c r="F294" s="189" t="s">
        <v>111</v>
      </c>
      <c r="G294" s="206" t="s">
        <v>66</v>
      </c>
      <c r="H294" s="47" t="str">
        <f>"|"&amp;"|"&amp;"|"&amp;G294</f>
        <v>|||Community food growing</v>
      </c>
      <c r="I294" s="190">
        <f>IFERROR(VLOOKUP((VLOOKUP('Stage 2'!$E$9,Lookups!$C$330:$D$330,2,FALSE)&amp;"|"&amp;"General"&amp;"|"&amp;"FALSE"&amp;"|"&amp;VLOOKUP('Stage 2'!$E$11,Lookups!$C$304:$E$326,3,FALSE)&amp;"|"&amp;"FreeDrain"),$H$41:$O$116,2,FALSE), IFERROR(VLOOKUP("General"&amp;"|"&amp;VLOOKUP('Stage 2'!$E$11,Lookups!$C$304:$E$326,3,FALSE),$K$41:$O$292,2,FALSE),VLOOKUP("General",$D$41:$O$292,11,FALSE)))</f>
        <v>0.41821379497198558</v>
      </c>
      <c r="J294" s="190">
        <f>IFERROR(VLOOKUP((VLOOKUP('Stage 2'!$E$9,Lookups!$C$330:$D$330,2,FALSE)&amp;"|"&amp;"General"&amp;"|"&amp;"FALSE"&amp;"|"&amp;VLOOKUP('Stage 2'!$E$11,Lookups!$C$304:$E$326,3,FALSE)&amp;"|"&amp;"FreeDrain"),$H$41:$O$116,3,FALSE), IFERROR(VLOOKUP("General"&amp;"|"&amp;VLOOKUP('Stage 2'!$E$11,Lookups!$C$304:$E$326,3,FALSE),$K$41:$O$292,3,FALSE),VLOOKUP("General",$D$41:$O$292,12,FALSE)))</f>
        <v>22.422722742979126</v>
      </c>
      <c r="K294" s="36"/>
      <c r="L294" s="27"/>
      <c r="M294" s="27"/>
      <c r="N294" s="27"/>
      <c r="O294" s="27"/>
      <c r="P294" s="138"/>
    </row>
    <row r="295" spans="2:16" x14ac:dyDescent="0.25">
      <c r="B295" s="137"/>
      <c r="C295" s="189" t="s">
        <v>111</v>
      </c>
      <c r="D295" s="189" t="s">
        <v>111</v>
      </c>
      <c r="E295" s="189" t="s">
        <v>111</v>
      </c>
      <c r="F295" s="189" t="s">
        <v>111</v>
      </c>
      <c r="G295" s="206" t="s">
        <v>61</v>
      </c>
      <c r="H295" s="47" t="str">
        <f>"|"&amp;"|"&amp;"|"&amp;G295</f>
        <v>|||Woodland</v>
      </c>
      <c r="I295" s="207">
        <v>0.02</v>
      </c>
      <c r="J295" s="133">
        <v>3</v>
      </c>
      <c r="K295" s="36"/>
      <c r="L295" s="27"/>
      <c r="M295" s="27"/>
      <c r="N295" s="27"/>
      <c r="O295" s="27"/>
      <c r="P295" s="138"/>
    </row>
    <row r="296" spans="2:16" x14ac:dyDescent="0.25">
      <c r="B296" s="137"/>
      <c r="C296" s="189" t="s">
        <v>111</v>
      </c>
      <c r="D296" s="189" t="s">
        <v>111</v>
      </c>
      <c r="E296" s="189" t="s">
        <v>111</v>
      </c>
      <c r="F296" s="189" t="s">
        <v>111</v>
      </c>
      <c r="G296" s="206" t="s">
        <v>62</v>
      </c>
      <c r="H296" s="47" t="str">
        <f>"|"&amp;"|"&amp;"|"&amp;G296</f>
        <v>|||Shrub</v>
      </c>
      <c r="I296" s="207">
        <v>0.02</v>
      </c>
      <c r="J296" s="133">
        <v>3</v>
      </c>
      <c r="K296" s="36"/>
      <c r="L296" s="27"/>
      <c r="M296" s="27"/>
      <c r="N296" s="27"/>
      <c r="O296" s="27"/>
      <c r="P296" s="138"/>
    </row>
    <row r="297" spans="2:16" x14ac:dyDescent="0.25">
      <c r="B297" s="137"/>
      <c r="C297" s="189" t="s">
        <v>111</v>
      </c>
      <c r="D297" s="189" t="s">
        <v>111</v>
      </c>
      <c r="E297" s="189" t="s">
        <v>111</v>
      </c>
      <c r="F297" s="189" t="s">
        <v>111</v>
      </c>
      <c r="G297" s="206" t="s">
        <v>63</v>
      </c>
      <c r="H297" s="47" t="str">
        <f>"|"&amp;"|"&amp;"|"&amp;G297</f>
        <v>|||Water</v>
      </c>
      <c r="I297" s="207">
        <v>0</v>
      </c>
      <c r="J297" s="133">
        <v>0</v>
      </c>
      <c r="K297" s="36"/>
      <c r="L297" s="27"/>
      <c r="M297" s="27"/>
      <c r="N297" s="27"/>
      <c r="O297" s="27"/>
      <c r="P297" s="138"/>
    </row>
    <row r="298" spans="2:16" x14ac:dyDescent="0.25">
      <c r="B298" s="137"/>
      <c r="C298" s="189" t="s">
        <v>111</v>
      </c>
      <c r="D298" s="189" t="s">
        <v>111</v>
      </c>
      <c r="E298" s="189" t="s">
        <v>111</v>
      </c>
      <c r="F298" s="189" t="s">
        <v>111</v>
      </c>
      <c r="G298" s="47" t="s">
        <v>64</v>
      </c>
      <c r="H298" s="47" t="str">
        <f t="shared" ref="H298:H300" si="9">"|"&amp;"|"&amp;"|"&amp;G298</f>
        <v>|||Residential urban land</v>
      </c>
      <c r="I298" s="133" t="e">
        <f>VLOOKUP('Stage 2'!E11,Lookups!C304:H326,6,FALSE)</f>
        <v>#N/A</v>
      </c>
      <c r="J298" s="133" t="e">
        <f>VLOOKUP('Stage 2'!E11,Lookups!C304:K326,9,FALSE)</f>
        <v>#N/A</v>
      </c>
      <c r="K298" s="36"/>
      <c r="L298" s="27"/>
      <c r="M298" s="27"/>
      <c r="N298" s="27"/>
      <c r="O298" s="27"/>
      <c r="P298" s="138"/>
    </row>
    <row r="299" spans="2:16" ht="14.4" x14ac:dyDescent="0.25">
      <c r="B299" s="137"/>
      <c r="C299" s="189" t="s">
        <v>111</v>
      </c>
      <c r="D299" s="189" t="s">
        <v>111</v>
      </c>
      <c r="E299" s="189" t="s">
        <v>111</v>
      </c>
      <c r="F299" s="189" t="s">
        <v>111</v>
      </c>
      <c r="G299" s="47" t="s">
        <v>98</v>
      </c>
      <c r="H299" s="47" t="str">
        <f t="shared" si="9"/>
        <v>|||Commercial/industrial urban land</v>
      </c>
      <c r="I299" s="133" t="e">
        <f>VLOOKUP('Stage 2'!E11,Lookups!C304:I326,7,FALSE)</f>
        <v>#N/A</v>
      </c>
      <c r="J299" s="133" t="e">
        <f>VLOOKUP('Stage 2'!E11,Lookups!C304:M326,10,FALSE)</f>
        <v>#N/A</v>
      </c>
      <c r="K299" s="36"/>
      <c r="L299" s="27"/>
      <c r="M299" s="27"/>
      <c r="N299" s="27"/>
      <c r="O299" s="27"/>
      <c r="P299" s="138"/>
    </row>
    <row r="300" spans="2:16" x14ac:dyDescent="0.25">
      <c r="B300" s="137"/>
      <c r="C300" s="189" t="s">
        <v>111</v>
      </c>
      <c r="D300" s="189" t="s">
        <v>111</v>
      </c>
      <c r="E300" s="189" t="s">
        <v>111</v>
      </c>
      <c r="F300" s="189" t="s">
        <v>111</v>
      </c>
      <c r="G300" s="47" t="s">
        <v>65</v>
      </c>
      <c r="H300" s="47" t="str">
        <f t="shared" si="9"/>
        <v>|||Open urban land</v>
      </c>
      <c r="I300" s="133" t="e">
        <f>VLOOKUP('Stage 2'!E11,Lookups!C304:J326,8,FALSE)</f>
        <v>#N/A</v>
      </c>
      <c r="J300" s="133" t="e">
        <f>VLOOKUP('Stage 2'!E11,Lookups!C304:P326,11,FALSE)</f>
        <v>#N/A</v>
      </c>
      <c r="K300" s="36"/>
      <c r="L300" s="27"/>
      <c r="M300" s="27"/>
      <c r="N300" s="27"/>
      <c r="O300" s="27"/>
      <c r="P300" s="138"/>
    </row>
    <row r="301" spans="2:16" x14ac:dyDescent="0.25">
      <c r="B301" s="137"/>
      <c r="C301" s="27"/>
      <c r="D301" s="27"/>
      <c r="E301" s="27"/>
      <c r="F301" s="27"/>
      <c r="G301" s="27"/>
      <c r="H301" s="27"/>
      <c r="I301" s="28"/>
      <c r="J301" s="28"/>
      <c r="K301" s="27"/>
      <c r="L301" s="27"/>
      <c r="M301" s="27"/>
      <c r="N301" s="27"/>
      <c r="O301" s="27"/>
      <c r="P301" s="138"/>
    </row>
    <row r="302" spans="2:16" x14ac:dyDescent="0.25">
      <c r="B302" s="137"/>
      <c r="C302" s="27" t="s">
        <v>188</v>
      </c>
      <c r="D302" s="27"/>
      <c r="E302" s="27"/>
      <c r="F302" s="27"/>
      <c r="G302" s="27"/>
      <c r="H302" s="27"/>
      <c r="I302" s="28"/>
      <c r="J302" s="28"/>
      <c r="K302" s="27"/>
      <c r="L302" s="27"/>
      <c r="M302" s="27"/>
      <c r="N302" s="27"/>
      <c r="O302" s="27"/>
      <c r="P302" s="138"/>
    </row>
    <row r="303" spans="2:16" ht="28.2" thickBot="1" x14ac:dyDescent="0.3">
      <c r="B303" s="137"/>
      <c r="C303" s="35" t="s">
        <v>29</v>
      </c>
      <c r="D303" s="48" t="s">
        <v>112</v>
      </c>
      <c r="E303" s="48" t="s">
        <v>113</v>
      </c>
      <c r="F303" s="48" t="s">
        <v>121</v>
      </c>
      <c r="G303" s="48" t="s">
        <v>191</v>
      </c>
      <c r="H303" s="48" t="s">
        <v>118</v>
      </c>
      <c r="I303" s="48" t="s">
        <v>119</v>
      </c>
      <c r="J303" s="48" t="s">
        <v>120</v>
      </c>
      <c r="K303" s="48" t="s">
        <v>115</v>
      </c>
      <c r="L303" s="35" t="s">
        <v>116</v>
      </c>
      <c r="M303" s="135" t="s">
        <v>117</v>
      </c>
      <c r="N303" s="205"/>
      <c r="O303" s="205"/>
      <c r="P303" s="138"/>
    </row>
    <row r="304" spans="2:16" ht="14.4" thickTop="1" x14ac:dyDescent="0.25">
      <c r="B304" s="137"/>
      <c r="C304" s="49" t="s">
        <v>30</v>
      </c>
      <c r="D304" s="190">
        <v>516.5</v>
      </c>
      <c r="E304" s="51" t="s">
        <v>114</v>
      </c>
      <c r="F304" s="190">
        <v>47.366326420209788</v>
      </c>
      <c r="G304" s="190">
        <v>63.946326420209786</v>
      </c>
      <c r="H304" s="190">
        <v>1.0030530114375726</v>
      </c>
      <c r="I304" s="190">
        <v>0.73394122788115068</v>
      </c>
      <c r="J304" s="190">
        <v>0.5382235671128438</v>
      </c>
      <c r="K304" s="190">
        <v>9.4130591148709328</v>
      </c>
      <c r="L304" s="192">
        <v>5.0202981945978298</v>
      </c>
      <c r="M304" s="191">
        <v>5.5487506361344439</v>
      </c>
      <c r="N304" s="193"/>
      <c r="O304" s="193"/>
      <c r="P304" s="138"/>
    </row>
    <row r="305" spans="2:16" x14ac:dyDescent="0.25">
      <c r="B305" s="137"/>
      <c r="C305" s="49" t="s">
        <v>31</v>
      </c>
      <c r="D305" s="190">
        <v>537.54999999999995</v>
      </c>
      <c r="E305" s="51" t="s">
        <v>114</v>
      </c>
      <c r="F305" s="190">
        <v>47.605509573313697</v>
      </c>
      <c r="G305" s="190">
        <v>64.185509573313695</v>
      </c>
      <c r="H305" s="190">
        <v>1.049204008516526</v>
      </c>
      <c r="I305" s="190">
        <v>0.76771025013404326</v>
      </c>
      <c r="J305" s="190">
        <v>0.56298751676496517</v>
      </c>
      <c r="K305" s="190">
        <v>9.8333323912734105</v>
      </c>
      <c r="L305" s="192">
        <v>5.2444439420124853</v>
      </c>
      <c r="M305" s="191">
        <v>5.7964906727506413</v>
      </c>
      <c r="N305" s="193"/>
      <c r="O305" s="193"/>
      <c r="P305" s="138"/>
    </row>
    <row r="306" spans="2:16" x14ac:dyDescent="0.25">
      <c r="B306" s="137"/>
      <c r="C306" s="49" t="s">
        <v>33</v>
      </c>
      <c r="D306" s="190">
        <v>562.54999999999995</v>
      </c>
      <c r="E306" s="51" t="s">
        <v>114</v>
      </c>
      <c r="F306" s="190">
        <v>47.8624816470968</v>
      </c>
      <c r="G306" s="190">
        <v>64.442481647096798</v>
      </c>
      <c r="H306" s="190">
        <v>1.1039266010735462</v>
      </c>
      <c r="I306" s="190">
        <v>0.80775117151722908</v>
      </c>
      <c r="J306" s="190">
        <v>0.59235085911263463</v>
      </c>
      <c r="K306" s="190">
        <v>10.331853644413675</v>
      </c>
      <c r="L306" s="192">
        <v>5.5103219436872939</v>
      </c>
      <c r="M306" s="191">
        <v>6.0903558324964822</v>
      </c>
      <c r="N306" s="193"/>
      <c r="O306" s="193"/>
      <c r="P306" s="138"/>
    </row>
    <row r="307" spans="2:16" x14ac:dyDescent="0.25">
      <c r="B307" s="137"/>
      <c r="C307" s="49" t="s">
        <v>34</v>
      </c>
      <c r="D307" s="190">
        <v>587.54999999999995</v>
      </c>
      <c r="E307" s="51" t="s">
        <v>114</v>
      </c>
      <c r="F307" s="190">
        <v>48.089720428979902</v>
      </c>
      <c r="G307" s="190">
        <v>64.6697204289799</v>
      </c>
      <c r="H307" s="190">
        <v>1.1584597247599329</v>
      </c>
      <c r="I307" s="190">
        <v>0.84765345714141427</v>
      </c>
      <c r="J307" s="190">
        <v>0.62161253523703719</v>
      </c>
      <c r="K307" s="190">
        <v>10.829057857843434</v>
      </c>
      <c r="L307" s="192">
        <v>5.775497524183165</v>
      </c>
      <c r="M307" s="191">
        <v>6.3834446319919191</v>
      </c>
      <c r="N307" s="193"/>
      <c r="O307" s="193"/>
      <c r="P307" s="138"/>
    </row>
    <row r="308" spans="2:16" x14ac:dyDescent="0.25">
      <c r="B308" s="137"/>
      <c r="C308" s="49" t="s">
        <v>35</v>
      </c>
      <c r="D308" s="190">
        <v>612.54999999999995</v>
      </c>
      <c r="E308" s="51" t="s">
        <v>8</v>
      </c>
      <c r="F308" s="190">
        <v>48.286892468962989</v>
      </c>
      <c r="G308" s="190">
        <v>64.866892468962988</v>
      </c>
      <c r="H308" s="190">
        <v>1.2127035752563942</v>
      </c>
      <c r="I308" s="190">
        <v>0.88734407945589822</v>
      </c>
      <c r="J308" s="190">
        <v>0.650718991600992</v>
      </c>
      <c r="K308" s="190">
        <v>11.324251269831036</v>
      </c>
      <c r="L308" s="192">
        <v>6.0396006772432189</v>
      </c>
      <c r="M308" s="191">
        <v>6.6753481169530309</v>
      </c>
      <c r="N308" s="193"/>
      <c r="O308" s="193"/>
      <c r="P308" s="138"/>
    </row>
    <row r="309" spans="2:16" x14ac:dyDescent="0.25">
      <c r="B309" s="137"/>
      <c r="C309" s="49" t="s">
        <v>36</v>
      </c>
      <c r="D309" s="190">
        <v>637.54999999999995</v>
      </c>
      <c r="E309" s="51" t="s">
        <v>8</v>
      </c>
      <c r="F309" s="190">
        <v>48.453664317046091</v>
      </c>
      <c r="G309" s="190">
        <v>65.033664317046089</v>
      </c>
      <c r="H309" s="190">
        <v>1.2665569810986419</v>
      </c>
      <c r="I309" s="190">
        <v>0.92674901055998193</v>
      </c>
      <c r="J309" s="190">
        <v>0.67961594107732015</v>
      </c>
      <c r="K309" s="190">
        <v>11.816730615319829</v>
      </c>
      <c r="L309" s="192">
        <v>6.302256328170575</v>
      </c>
      <c r="M309" s="191">
        <v>6.9656517311358979</v>
      </c>
      <c r="N309" s="193"/>
      <c r="O309" s="193"/>
      <c r="P309" s="138"/>
    </row>
    <row r="310" spans="2:16" x14ac:dyDescent="0.25">
      <c r="B310" s="137"/>
      <c r="C310" s="49" t="s">
        <v>37</v>
      </c>
      <c r="D310" s="190">
        <v>662.55</v>
      </c>
      <c r="E310" s="51" t="s">
        <v>8</v>
      </c>
      <c r="F310" s="190">
        <v>48.589702523229192</v>
      </c>
      <c r="G310" s="190">
        <v>65.169702523229191</v>
      </c>
      <c r="H310" s="190">
        <v>1.3199174036773855</v>
      </c>
      <c r="I310" s="190">
        <v>0.96579322220296504</v>
      </c>
      <c r="J310" s="190">
        <v>0.70824836294884108</v>
      </c>
      <c r="K310" s="190">
        <v>12.305783125928167</v>
      </c>
      <c r="L310" s="192">
        <v>6.5630843338283551</v>
      </c>
      <c r="M310" s="191">
        <v>7.2539353163366025</v>
      </c>
      <c r="N310" s="193"/>
      <c r="O310" s="193"/>
      <c r="P310" s="138"/>
    </row>
    <row r="311" spans="2:16" x14ac:dyDescent="0.25">
      <c r="B311" s="137"/>
      <c r="C311" s="49" t="s">
        <v>38</v>
      </c>
      <c r="D311" s="190">
        <v>687.55</v>
      </c>
      <c r="E311" s="51" t="s">
        <v>8</v>
      </c>
      <c r="F311" s="190">
        <v>48.694673637512295</v>
      </c>
      <c r="G311" s="190">
        <v>65.274673637512294</v>
      </c>
      <c r="H311" s="190">
        <v>1.3726809372383346</v>
      </c>
      <c r="I311" s="190">
        <v>1.0044006857841474</v>
      </c>
      <c r="J311" s="190">
        <v>0.73656050290837471</v>
      </c>
      <c r="K311" s="190">
        <v>12.790686529949399</v>
      </c>
      <c r="L311" s="192">
        <v>6.82169948263968</v>
      </c>
      <c r="M311" s="191">
        <v>7.5397731123912237</v>
      </c>
      <c r="N311" s="193"/>
      <c r="O311" s="193"/>
      <c r="P311" s="138"/>
    </row>
    <row r="312" spans="2:16" x14ac:dyDescent="0.25">
      <c r="B312" s="137"/>
      <c r="C312" s="49" t="s">
        <v>39</v>
      </c>
      <c r="D312" s="190">
        <v>725.05</v>
      </c>
      <c r="E312" s="51" t="s">
        <v>12</v>
      </c>
      <c r="F312" s="190">
        <v>48.793150089749446</v>
      </c>
      <c r="G312" s="190">
        <v>65.373150089749444</v>
      </c>
      <c r="H312" s="190">
        <v>1.4504764123754863</v>
      </c>
      <c r="I312" s="190">
        <v>1.0613242041771849</v>
      </c>
      <c r="J312" s="190">
        <v>0.77830441639660242</v>
      </c>
      <c r="K312" s="190">
        <v>13.508658704683258</v>
      </c>
      <c r="L312" s="192">
        <v>7.20461797583107</v>
      </c>
      <c r="M312" s="191">
        <v>7.9629988153922353</v>
      </c>
      <c r="N312" s="193"/>
      <c r="O312" s="193"/>
      <c r="P312" s="138"/>
    </row>
    <row r="313" spans="2:16" x14ac:dyDescent="0.25">
      <c r="B313" s="137"/>
      <c r="C313" s="49" t="s">
        <v>40</v>
      </c>
      <c r="D313" s="190">
        <v>775.05</v>
      </c>
      <c r="E313" s="51" t="s">
        <v>12</v>
      </c>
      <c r="F313" s="190">
        <v>48.817999999999984</v>
      </c>
      <c r="G313" s="190">
        <v>65.397999999999982</v>
      </c>
      <c r="H313" s="190">
        <v>1.5512920268999992</v>
      </c>
      <c r="I313" s="190">
        <v>1.1350917269999994</v>
      </c>
      <c r="J313" s="190">
        <v>0.83240059979999959</v>
      </c>
      <c r="K313" s="190">
        <v>14.445715171499996</v>
      </c>
      <c r="L313" s="192">
        <v>7.7043814247999975</v>
      </c>
      <c r="M313" s="191">
        <v>8.5153689431999986</v>
      </c>
      <c r="N313" s="193"/>
      <c r="O313" s="193"/>
      <c r="P313" s="138"/>
    </row>
    <row r="314" spans="2:16" x14ac:dyDescent="0.25">
      <c r="B314" s="137"/>
      <c r="C314" s="49" t="s">
        <v>41</v>
      </c>
      <c r="D314" s="190">
        <v>825.05</v>
      </c>
      <c r="E314" s="51" t="s">
        <v>12</v>
      </c>
      <c r="F314" s="190">
        <v>48.817999999999984</v>
      </c>
      <c r="G314" s="190">
        <v>65.397999999999982</v>
      </c>
      <c r="H314" s="190">
        <v>1.6513689268999994</v>
      </c>
      <c r="I314" s="190">
        <v>1.2083187269999995</v>
      </c>
      <c r="J314" s="190">
        <v>0.88610039979999966</v>
      </c>
      <c r="K314" s="190">
        <v>15.377636671499994</v>
      </c>
      <c r="L314" s="192">
        <v>8.2014062247999959</v>
      </c>
      <c r="M314" s="191">
        <v>9.064712143199996</v>
      </c>
      <c r="N314" s="193"/>
      <c r="O314" s="193"/>
      <c r="P314" s="138"/>
    </row>
    <row r="315" spans="2:16" x14ac:dyDescent="0.25">
      <c r="B315" s="137"/>
      <c r="C315" s="49" t="s">
        <v>43</v>
      </c>
      <c r="D315" s="190">
        <v>875.05</v>
      </c>
      <c r="E315" s="51" t="s">
        <v>12</v>
      </c>
      <c r="F315" s="190">
        <v>48.817999999999984</v>
      </c>
      <c r="G315" s="190">
        <v>65.397999999999982</v>
      </c>
      <c r="H315" s="190">
        <v>1.7514458268999995</v>
      </c>
      <c r="I315" s="190">
        <v>1.2815457269999997</v>
      </c>
      <c r="J315" s="190">
        <v>0.93980019979999974</v>
      </c>
      <c r="K315" s="190">
        <v>16.309558171499994</v>
      </c>
      <c r="L315" s="192">
        <v>8.6984310247999979</v>
      </c>
      <c r="M315" s="191">
        <v>9.6140553431999969</v>
      </c>
      <c r="N315" s="193"/>
      <c r="O315" s="193"/>
      <c r="P315" s="138"/>
    </row>
    <row r="316" spans="2:16" x14ac:dyDescent="0.25">
      <c r="B316" s="137"/>
      <c r="C316" s="49" t="s">
        <v>44</v>
      </c>
      <c r="D316" s="190">
        <v>925.05</v>
      </c>
      <c r="E316" s="51" t="s">
        <v>22</v>
      </c>
      <c r="F316" s="190">
        <v>48.817999999999984</v>
      </c>
      <c r="G316" s="190">
        <v>65.397999999999982</v>
      </c>
      <c r="H316" s="190">
        <v>1.851522726899999</v>
      </c>
      <c r="I316" s="190">
        <v>1.3547727269999992</v>
      </c>
      <c r="J316" s="190">
        <v>0.99349999979999948</v>
      </c>
      <c r="K316" s="190">
        <v>17.241479671499995</v>
      </c>
      <c r="L316" s="192">
        <v>9.1954558247999962</v>
      </c>
      <c r="M316" s="191">
        <v>10.163398543199996</v>
      </c>
      <c r="N316" s="193"/>
      <c r="O316" s="193"/>
      <c r="P316" s="138"/>
    </row>
    <row r="317" spans="2:16" x14ac:dyDescent="0.25">
      <c r="B317" s="137"/>
      <c r="C317" s="49" t="s">
        <v>45</v>
      </c>
      <c r="D317" s="190">
        <v>975.05</v>
      </c>
      <c r="E317" s="51" t="s">
        <v>22</v>
      </c>
      <c r="F317" s="190">
        <v>48.817999999999984</v>
      </c>
      <c r="G317" s="190">
        <v>65.397999999999982</v>
      </c>
      <c r="H317" s="190">
        <v>1.9515996268999991</v>
      </c>
      <c r="I317" s="190">
        <v>1.4279997269999993</v>
      </c>
      <c r="J317" s="190">
        <v>1.0471997997999996</v>
      </c>
      <c r="K317" s="190">
        <v>18.173401171499993</v>
      </c>
      <c r="L317" s="192">
        <v>9.6924806247999964</v>
      </c>
      <c r="M317" s="191">
        <v>10.712741743199995</v>
      </c>
      <c r="N317" s="193"/>
      <c r="O317" s="193"/>
      <c r="P317" s="138"/>
    </row>
    <row r="318" spans="2:16" x14ac:dyDescent="0.25">
      <c r="B318" s="137"/>
      <c r="C318" s="49" t="s">
        <v>46</v>
      </c>
      <c r="D318" s="190">
        <v>1050.05</v>
      </c>
      <c r="E318" s="51" t="s">
        <v>22</v>
      </c>
      <c r="F318" s="190">
        <v>48.817999999999984</v>
      </c>
      <c r="G318" s="190">
        <v>65.397999999999982</v>
      </c>
      <c r="H318" s="190">
        <v>2.101714976899999</v>
      </c>
      <c r="I318" s="190">
        <v>1.5378402269999993</v>
      </c>
      <c r="J318" s="190">
        <v>1.1277494997999997</v>
      </c>
      <c r="K318" s="190">
        <v>19.571283421499995</v>
      </c>
      <c r="L318" s="192">
        <v>10.438017824799996</v>
      </c>
      <c r="M318" s="191">
        <v>11.536756543199996</v>
      </c>
      <c r="N318" s="193"/>
      <c r="O318" s="193"/>
      <c r="P318" s="138"/>
    </row>
    <row r="319" spans="2:16" x14ac:dyDescent="0.25">
      <c r="B319" s="137"/>
      <c r="C319" s="49" t="s">
        <v>48</v>
      </c>
      <c r="D319" s="190">
        <v>1150.05</v>
      </c>
      <c r="E319" s="51" t="s">
        <v>22</v>
      </c>
      <c r="F319" s="190">
        <v>48.817999999999984</v>
      </c>
      <c r="G319" s="190">
        <v>65.397999999999982</v>
      </c>
      <c r="H319" s="190">
        <v>2.3018687768999988</v>
      </c>
      <c r="I319" s="190">
        <v>1.6842942269999992</v>
      </c>
      <c r="J319" s="190">
        <v>1.2351490997999994</v>
      </c>
      <c r="K319" s="190">
        <v>21.435126421499994</v>
      </c>
      <c r="L319" s="192">
        <v>11.432067424799996</v>
      </c>
      <c r="M319" s="191">
        <v>12.635442943199996</v>
      </c>
      <c r="N319" s="193"/>
      <c r="O319" s="193"/>
      <c r="P319" s="138"/>
    </row>
    <row r="320" spans="2:16" x14ac:dyDescent="0.25">
      <c r="B320" s="137"/>
      <c r="C320" s="49" t="s">
        <v>49</v>
      </c>
      <c r="D320" s="190">
        <v>1300.05</v>
      </c>
      <c r="E320" s="51" t="s">
        <v>27</v>
      </c>
      <c r="F320" s="190">
        <v>48.817999999999984</v>
      </c>
      <c r="G320" s="190">
        <v>65.397999999999982</v>
      </c>
      <c r="H320" s="190">
        <v>2.602099476899999</v>
      </c>
      <c r="I320" s="190">
        <v>1.9039752269999992</v>
      </c>
      <c r="J320" s="190">
        <v>1.3962484997999995</v>
      </c>
      <c r="K320" s="190">
        <v>24.230890921499991</v>
      </c>
      <c r="L320" s="192">
        <v>12.923141824799995</v>
      </c>
      <c r="M320" s="191">
        <v>14.283472543199993</v>
      </c>
      <c r="N320" s="193"/>
      <c r="O320" s="193"/>
      <c r="P320" s="138"/>
    </row>
    <row r="321" spans="2:16" x14ac:dyDescent="0.25">
      <c r="B321" s="137"/>
      <c r="C321" s="49" t="s">
        <v>50</v>
      </c>
      <c r="D321" s="190">
        <v>1500.05</v>
      </c>
      <c r="E321" s="51" t="s">
        <v>27</v>
      </c>
      <c r="F321" s="190">
        <v>48.817999999999984</v>
      </c>
      <c r="G321" s="190">
        <v>65.397999999999982</v>
      </c>
      <c r="H321" s="190">
        <v>3.0024070768999986</v>
      </c>
      <c r="I321" s="190">
        <v>2.1968832269999989</v>
      </c>
      <c r="J321" s="190">
        <v>1.6110476997999994</v>
      </c>
      <c r="K321" s="190">
        <v>27.95857692149999</v>
      </c>
      <c r="L321" s="192">
        <v>14.911241024799995</v>
      </c>
      <c r="M321" s="191">
        <v>16.480845343199995</v>
      </c>
      <c r="N321" s="193"/>
      <c r="O321" s="193"/>
      <c r="P321" s="138"/>
    </row>
    <row r="322" spans="2:16" x14ac:dyDescent="0.25">
      <c r="B322" s="137"/>
      <c r="C322" s="49" t="s">
        <v>51</v>
      </c>
      <c r="D322" s="190">
        <v>1800.05</v>
      </c>
      <c r="E322" s="51" t="s">
        <v>28</v>
      </c>
      <c r="F322" s="190">
        <v>48.817999999999984</v>
      </c>
      <c r="G322" s="190">
        <v>65.397999999999982</v>
      </c>
      <c r="H322" s="190">
        <v>3.6028684768999981</v>
      </c>
      <c r="I322" s="190">
        <v>2.6362452269999985</v>
      </c>
      <c r="J322" s="190">
        <v>1.9332464997999992</v>
      </c>
      <c r="K322" s="190">
        <v>33.550105921499991</v>
      </c>
      <c r="L322" s="192">
        <v>17.893389824799996</v>
      </c>
      <c r="M322" s="191">
        <v>19.776904543199993</v>
      </c>
      <c r="N322" s="193"/>
      <c r="O322" s="193"/>
      <c r="P322" s="138"/>
    </row>
    <row r="323" spans="2:16" x14ac:dyDescent="0.25">
      <c r="B323" s="137"/>
      <c r="C323" s="49" t="s">
        <v>52</v>
      </c>
      <c r="D323" s="190">
        <v>2200.0500000000002</v>
      </c>
      <c r="E323" s="51" t="s">
        <v>28</v>
      </c>
      <c r="F323" s="190">
        <v>48.817999999999984</v>
      </c>
      <c r="G323" s="190">
        <v>65.397999999999982</v>
      </c>
      <c r="H323" s="190">
        <v>4.4034836768999988</v>
      </c>
      <c r="I323" s="190">
        <v>3.2220612269999993</v>
      </c>
      <c r="J323" s="190">
        <v>2.3628448997999998</v>
      </c>
      <c r="K323" s="190">
        <v>41.005477921499988</v>
      </c>
      <c r="L323" s="192">
        <v>21.869588224799994</v>
      </c>
      <c r="M323" s="191">
        <v>24.17165014319999</v>
      </c>
      <c r="N323" s="193"/>
      <c r="O323" s="193"/>
      <c r="P323" s="138"/>
    </row>
    <row r="324" spans="2:16" x14ac:dyDescent="0.25">
      <c r="B324" s="137"/>
      <c r="C324" s="49" t="s">
        <v>53</v>
      </c>
      <c r="D324" s="190">
        <v>2700.05</v>
      </c>
      <c r="E324" s="51" t="s">
        <v>28</v>
      </c>
      <c r="F324" s="190">
        <v>48.817999999999984</v>
      </c>
      <c r="G324" s="190">
        <v>65.397999999999982</v>
      </c>
      <c r="H324" s="190">
        <v>5.4042526768999988</v>
      </c>
      <c r="I324" s="190">
        <v>3.9543312269999986</v>
      </c>
      <c r="J324" s="190">
        <v>2.8998428997999994</v>
      </c>
      <c r="K324" s="190">
        <v>50.324692921499988</v>
      </c>
      <c r="L324" s="192">
        <v>26.839836224799992</v>
      </c>
      <c r="M324" s="191">
        <v>29.665082143199992</v>
      </c>
      <c r="N324" s="193"/>
      <c r="O324" s="193"/>
      <c r="P324" s="138"/>
    </row>
    <row r="325" spans="2:16" x14ac:dyDescent="0.25">
      <c r="B325" s="137"/>
      <c r="C325" s="49" t="s">
        <v>54</v>
      </c>
      <c r="D325" s="190">
        <v>3500.05</v>
      </c>
      <c r="E325" s="51" t="s">
        <v>28</v>
      </c>
      <c r="F325" s="190">
        <v>48.817999999999984</v>
      </c>
      <c r="G325" s="190">
        <v>65.397999999999982</v>
      </c>
      <c r="H325" s="190">
        <v>7.0054830768999983</v>
      </c>
      <c r="I325" s="190">
        <v>5.1259632269999988</v>
      </c>
      <c r="J325" s="190">
        <v>3.7590396997999993</v>
      </c>
      <c r="K325" s="190">
        <v>65.235436921499982</v>
      </c>
      <c r="L325" s="192">
        <v>34.792233024799991</v>
      </c>
      <c r="M325" s="191">
        <v>38.454573343199982</v>
      </c>
      <c r="N325" s="193"/>
      <c r="O325" s="193"/>
      <c r="P325" s="138"/>
    </row>
    <row r="326" spans="2:16" x14ac:dyDescent="0.25">
      <c r="B326" s="137"/>
      <c r="C326" s="49" t="s">
        <v>56</v>
      </c>
      <c r="D326" s="190">
        <v>4750.05</v>
      </c>
      <c r="E326" s="51" t="s">
        <v>28</v>
      </c>
      <c r="F326" s="190">
        <v>48.817999999999984</v>
      </c>
      <c r="G326" s="190">
        <v>65.397999999999982</v>
      </c>
      <c r="H326" s="190">
        <v>9.5074055768999965</v>
      </c>
      <c r="I326" s="190">
        <v>6.9566382269999973</v>
      </c>
      <c r="J326" s="190">
        <v>5.1015346997999984</v>
      </c>
      <c r="K326" s="190">
        <v>88.533474421499989</v>
      </c>
      <c r="L326" s="192">
        <v>47.217853024799986</v>
      </c>
      <c r="M326" s="191">
        <v>52.188153343199986</v>
      </c>
      <c r="N326" s="193"/>
      <c r="O326" s="193"/>
      <c r="P326" s="138"/>
    </row>
    <row r="327" spans="2:16" x14ac:dyDescent="0.25">
      <c r="B327" s="137"/>
      <c r="C327" s="27"/>
      <c r="D327" s="27"/>
      <c r="E327" s="27"/>
      <c r="F327" s="27"/>
      <c r="G327" s="27"/>
      <c r="H327" s="27"/>
      <c r="I327" s="28"/>
      <c r="J327" s="28"/>
      <c r="K327" s="27"/>
      <c r="L327" s="27"/>
      <c r="M327" s="27"/>
      <c r="N327" s="27"/>
      <c r="O327" s="27"/>
      <c r="P327" s="138"/>
    </row>
    <row r="328" spans="2:16" x14ac:dyDescent="0.25">
      <c r="B328" s="137"/>
      <c r="C328" s="27" t="s">
        <v>125</v>
      </c>
      <c r="D328" s="27"/>
      <c r="E328" s="27"/>
      <c r="F328" s="27"/>
      <c r="G328" s="27" t="s">
        <v>127</v>
      </c>
      <c r="H328" s="27"/>
      <c r="I328" s="27" t="s">
        <v>128</v>
      </c>
      <c r="J328" s="28"/>
      <c r="K328" s="27"/>
      <c r="L328" s="27"/>
      <c r="M328" s="27"/>
      <c r="N328" s="27"/>
      <c r="O328" s="27"/>
      <c r="P328" s="138"/>
    </row>
    <row r="329" spans="2:16" ht="14.4" thickBot="1" x14ac:dyDescent="0.3">
      <c r="B329" s="137"/>
      <c r="C329" s="35" t="s">
        <v>5</v>
      </c>
      <c r="D329" s="43" t="s">
        <v>6</v>
      </c>
      <c r="E329" s="27"/>
      <c r="F329" s="27"/>
      <c r="G329" s="38" t="s">
        <v>123</v>
      </c>
      <c r="H329" s="27"/>
      <c r="I329" s="38" t="s">
        <v>222</v>
      </c>
      <c r="J329" s="28"/>
      <c r="K329" s="27"/>
      <c r="L329" s="27"/>
      <c r="M329" s="27"/>
      <c r="N329" s="27"/>
      <c r="O329" s="27"/>
      <c r="P329" s="138"/>
    </row>
    <row r="330" spans="2:16" ht="14.4" thickTop="1" x14ac:dyDescent="0.25">
      <c r="B330" s="137"/>
      <c r="C330" s="36" t="s">
        <v>217</v>
      </c>
      <c r="D330" s="44" t="s">
        <v>217</v>
      </c>
      <c r="E330" s="27"/>
      <c r="F330" s="27"/>
      <c r="G330" s="39" t="s">
        <v>7</v>
      </c>
      <c r="H330" s="27"/>
      <c r="I330" s="39" t="s">
        <v>7</v>
      </c>
      <c r="J330" s="28"/>
      <c r="K330" s="27"/>
      <c r="L330" s="27"/>
      <c r="M330" s="27"/>
      <c r="N330" s="27"/>
      <c r="O330" s="27"/>
      <c r="P330" s="138"/>
    </row>
    <row r="331" spans="2:16" x14ac:dyDescent="0.25">
      <c r="B331" s="137"/>
      <c r="C331" s="27"/>
      <c r="D331" s="27"/>
      <c r="E331" s="27"/>
      <c r="F331" s="27"/>
      <c r="G331" s="40" t="s">
        <v>25</v>
      </c>
      <c r="H331" s="27"/>
      <c r="I331" s="40" t="s">
        <v>25</v>
      </c>
      <c r="J331" s="28"/>
      <c r="K331" s="27"/>
      <c r="L331" s="27"/>
      <c r="M331" s="27"/>
      <c r="N331" s="27"/>
      <c r="O331" s="27"/>
      <c r="P331" s="138"/>
    </row>
    <row r="332" spans="2:16" x14ac:dyDescent="0.25">
      <c r="B332" s="137"/>
      <c r="C332" s="27"/>
      <c r="D332" s="27"/>
      <c r="E332" s="27"/>
      <c r="F332" s="27"/>
      <c r="G332" s="40" t="s">
        <v>32</v>
      </c>
      <c r="H332" s="27"/>
      <c r="I332" s="40" t="s">
        <v>32</v>
      </c>
      <c r="J332" s="27"/>
      <c r="K332" s="27"/>
      <c r="L332" s="27"/>
      <c r="M332" s="27"/>
      <c r="N332" s="27"/>
      <c r="O332" s="27"/>
      <c r="P332" s="138"/>
    </row>
    <row r="333" spans="2:16" x14ac:dyDescent="0.25">
      <c r="B333" s="137"/>
      <c r="C333" s="27" t="s">
        <v>124</v>
      </c>
      <c r="D333" s="27"/>
      <c r="E333" s="27"/>
      <c r="F333" s="27"/>
      <c r="G333" s="40" t="s">
        <v>42</v>
      </c>
      <c r="H333" s="30"/>
      <c r="I333" s="184" t="s">
        <v>42</v>
      </c>
      <c r="J333" s="27"/>
      <c r="K333" s="27"/>
      <c r="L333" s="27"/>
      <c r="M333" s="27"/>
      <c r="N333" s="27"/>
      <c r="O333" s="27"/>
      <c r="P333" s="138"/>
    </row>
    <row r="334" spans="2:16" ht="14.4" thickBot="1" x14ac:dyDescent="0.3">
      <c r="B334" s="137"/>
      <c r="C334" s="34" t="s">
        <v>13</v>
      </c>
      <c r="D334" s="33" t="s">
        <v>14</v>
      </c>
      <c r="E334" s="45" t="s">
        <v>15</v>
      </c>
      <c r="F334" s="27"/>
      <c r="G334" s="40" t="s">
        <v>47</v>
      </c>
      <c r="H334" s="27"/>
      <c r="I334" s="40" t="s">
        <v>47</v>
      </c>
      <c r="J334" s="27"/>
      <c r="K334" s="27"/>
      <c r="L334" s="27"/>
      <c r="M334" s="27"/>
      <c r="N334" s="27"/>
      <c r="O334" s="27"/>
      <c r="P334" s="138"/>
    </row>
    <row r="335" spans="2:16" ht="14.4" thickTop="1" x14ac:dyDescent="0.25">
      <c r="B335" s="137"/>
      <c r="C335" s="46" t="s">
        <v>16</v>
      </c>
      <c r="D335" s="47" t="s">
        <v>9</v>
      </c>
      <c r="E335" s="44" t="s">
        <v>17</v>
      </c>
      <c r="F335" s="27"/>
      <c r="G335" s="40" t="s">
        <v>55</v>
      </c>
      <c r="H335" s="27"/>
      <c r="I335" s="40" t="s">
        <v>55</v>
      </c>
      <c r="J335" s="27"/>
      <c r="K335" s="27"/>
      <c r="L335" s="27"/>
      <c r="M335" s="27"/>
      <c r="N335" s="27"/>
      <c r="O335" s="27"/>
      <c r="P335" s="138"/>
    </row>
    <row r="336" spans="2:16" x14ac:dyDescent="0.25">
      <c r="B336" s="137"/>
      <c r="C336" s="46" t="s">
        <v>18</v>
      </c>
      <c r="D336" s="47" t="s">
        <v>10</v>
      </c>
      <c r="E336" s="44" t="s">
        <v>19</v>
      </c>
      <c r="F336" s="27"/>
      <c r="G336" s="40" t="s">
        <v>57</v>
      </c>
      <c r="H336" s="27"/>
      <c r="I336" s="40" t="s">
        <v>58</v>
      </c>
      <c r="J336" s="27"/>
      <c r="K336" s="27"/>
      <c r="L336" s="27"/>
      <c r="M336" s="27"/>
      <c r="N336" s="27"/>
      <c r="O336" s="27"/>
      <c r="P336" s="138"/>
    </row>
    <row r="337" spans="2:16" x14ac:dyDescent="0.25">
      <c r="B337" s="137"/>
      <c r="C337" s="46" t="s">
        <v>20</v>
      </c>
      <c r="D337" s="47" t="s">
        <v>11</v>
      </c>
      <c r="E337" s="44" t="s">
        <v>21</v>
      </c>
      <c r="F337" s="27"/>
      <c r="G337" s="40" t="s">
        <v>58</v>
      </c>
      <c r="H337" s="27"/>
      <c r="I337" s="40" t="s">
        <v>59</v>
      </c>
      <c r="J337" s="27"/>
      <c r="K337" s="27"/>
      <c r="L337" s="27"/>
      <c r="M337" s="27"/>
      <c r="N337" s="27"/>
      <c r="O337" s="27"/>
      <c r="P337" s="138"/>
    </row>
    <row r="338" spans="2:16" x14ac:dyDescent="0.25">
      <c r="B338" s="137"/>
      <c r="C338" s="36" t="s">
        <v>23</v>
      </c>
      <c r="D338" s="47" t="s">
        <v>10</v>
      </c>
      <c r="E338" s="44" t="s">
        <v>19</v>
      </c>
      <c r="F338" s="27"/>
      <c r="G338" s="40" t="s">
        <v>59</v>
      </c>
      <c r="H338" s="27"/>
      <c r="I338" s="41" t="s">
        <v>60</v>
      </c>
      <c r="J338" s="27"/>
      <c r="K338" s="27"/>
      <c r="L338" s="27"/>
      <c r="M338" s="27"/>
      <c r="N338" s="27"/>
      <c r="O338" s="27"/>
      <c r="P338" s="138"/>
    </row>
    <row r="339" spans="2:16" x14ac:dyDescent="0.25">
      <c r="B339" s="137"/>
      <c r="C339" s="36" t="s">
        <v>24</v>
      </c>
      <c r="D339" s="47" t="s">
        <v>10</v>
      </c>
      <c r="E339" s="44" t="s">
        <v>19</v>
      </c>
      <c r="F339" s="27"/>
      <c r="G339" s="41" t="s">
        <v>60</v>
      </c>
      <c r="H339" s="27"/>
      <c r="I339" s="41" t="s">
        <v>61</v>
      </c>
      <c r="J339" s="27"/>
      <c r="K339" s="27"/>
      <c r="L339" s="27"/>
      <c r="M339" s="27"/>
      <c r="N339" s="27"/>
      <c r="O339" s="27"/>
      <c r="P339" s="138"/>
    </row>
    <row r="340" spans="2:16" x14ac:dyDescent="0.25">
      <c r="B340" s="137"/>
      <c r="C340" s="46" t="s">
        <v>26</v>
      </c>
      <c r="D340" s="47" t="s">
        <v>10</v>
      </c>
      <c r="E340" s="40" t="s">
        <v>19</v>
      </c>
      <c r="F340" s="27"/>
      <c r="G340" s="41" t="s">
        <v>61</v>
      </c>
      <c r="H340" s="27"/>
      <c r="I340" s="41" t="s">
        <v>62</v>
      </c>
      <c r="J340" s="27"/>
      <c r="K340" s="27"/>
      <c r="L340" s="27"/>
      <c r="M340" s="27"/>
      <c r="N340" s="27"/>
      <c r="O340" s="27"/>
      <c r="P340" s="138"/>
    </row>
    <row r="341" spans="2:16" x14ac:dyDescent="0.25">
      <c r="B341" s="137"/>
      <c r="C341" s="27"/>
      <c r="D341" s="28"/>
      <c r="E341" s="27"/>
      <c r="F341" s="27"/>
      <c r="G341" s="41" t="s">
        <v>62</v>
      </c>
      <c r="H341" s="27"/>
      <c r="I341" s="41" t="s">
        <v>63</v>
      </c>
      <c r="J341" s="27"/>
      <c r="K341" s="27"/>
      <c r="L341" s="27"/>
      <c r="M341" s="27"/>
      <c r="N341" s="27"/>
      <c r="O341" s="27"/>
      <c r="P341" s="138"/>
    </row>
    <row r="342" spans="2:16" x14ac:dyDescent="0.25">
      <c r="B342" s="137"/>
      <c r="C342" s="27" t="s">
        <v>126</v>
      </c>
      <c r="D342" s="28"/>
      <c r="E342" s="27"/>
      <c r="F342" s="27"/>
      <c r="G342" s="41" t="s">
        <v>63</v>
      </c>
      <c r="H342" s="27"/>
      <c r="I342" s="40" t="s">
        <v>64</v>
      </c>
      <c r="J342" s="27"/>
      <c r="K342" s="27"/>
      <c r="L342" s="27"/>
      <c r="M342" s="27"/>
      <c r="N342" s="27"/>
      <c r="O342" s="27"/>
      <c r="P342" s="138"/>
    </row>
    <row r="343" spans="2:16" ht="15" thickBot="1" x14ac:dyDescent="0.3">
      <c r="B343" s="137"/>
      <c r="C343" s="194" t="s">
        <v>92</v>
      </c>
      <c r="D343" s="38" t="s">
        <v>6</v>
      </c>
      <c r="E343" s="27"/>
      <c r="F343" s="27"/>
      <c r="G343" s="40" t="s">
        <v>64</v>
      </c>
      <c r="H343" s="27"/>
      <c r="I343" s="40" t="s">
        <v>98</v>
      </c>
      <c r="J343" s="27"/>
      <c r="K343" s="27"/>
      <c r="L343" s="27"/>
      <c r="M343" s="27"/>
      <c r="N343" s="27"/>
      <c r="O343" s="27"/>
      <c r="P343" s="138"/>
    </row>
    <row r="344" spans="2:16" ht="15" thickTop="1" x14ac:dyDescent="0.25">
      <c r="B344" s="137"/>
      <c r="C344" s="36" t="s">
        <v>94</v>
      </c>
      <c r="D344" s="37" t="b">
        <v>1</v>
      </c>
      <c r="E344" s="27"/>
      <c r="F344" s="27"/>
      <c r="G344" s="40" t="s">
        <v>98</v>
      </c>
      <c r="H344" s="27"/>
      <c r="I344" s="40" t="s">
        <v>65</v>
      </c>
      <c r="J344" s="27"/>
      <c r="K344" s="27"/>
      <c r="L344" s="27"/>
      <c r="M344" s="27"/>
      <c r="N344" s="27"/>
      <c r="O344" s="27"/>
      <c r="P344" s="138"/>
    </row>
    <row r="345" spans="2:16" x14ac:dyDescent="0.25">
      <c r="B345" s="137"/>
      <c r="C345" s="36" t="s">
        <v>93</v>
      </c>
      <c r="D345" s="37" t="b">
        <v>0</v>
      </c>
      <c r="E345" s="27"/>
      <c r="F345" s="27"/>
      <c r="G345" s="40" t="s">
        <v>65</v>
      </c>
      <c r="H345" s="27"/>
      <c r="I345" s="42" t="s">
        <v>66</v>
      </c>
      <c r="J345" s="27"/>
      <c r="K345" s="27"/>
      <c r="L345" s="27"/>
      <c r="M345" s="27"/>
      <c r="N345" s="27"/>
      <c r="O345" s="27"/>
      <c r="P345" s="138"/>
    </row>
    <row r="346" spans="2:16" x14ac:dyDescent="0.25">
      <c r="B346" s="137"/>
      <c r="C346" s="27"/>
      <c r="D346" s="28"/>
      <c r="E346" s="28"/>
      <c r="F346" s="27"/>
      <c r="G346" s="42" t="s">
        <v>66</v>
      </c>
      <c r="H346" s="27"/>
      <c r="I346" s="22"/>
      <c r="J346" s="29"/>
      <c r="K346" s="29"/>
      <c r="L346" s="29"/>
      <c r="M346" s="29"/>
      <c r="N346" s="29"/>
      <c r="O346" s="29"/>
      <c r="P346" s="138"/>
    </row>
    <row r="347" spans="2:16" ht="14.4" thickBot="1" x14ac:dyDescent="0.3">
      <c r="B347" s="208"/>
      <c r="C347" s="181"/>
      <c r="D347" s="182"/>
      <c r="E347" s="182"/>
      <c r="F347" s="181"/>
      <c r="G347" s="183"/>
      <c r="H347" s="183"/>
      <c r="I347" s="183"/>
      <c r="J347" s="183"/>
      <c r="K347" s="183"/>
      <c r="L347" s="183"/>
      <c r="M347" s="183"/>
      <c r="N347" s="183"/>
      <c r="O347" s="183"/>
      <c r="P347" s="209"/>
    </row>
    <row r="348" spans="2:16" ht="14.4" thickTop="1" x14ac:dyDescent="0.25">
      <c r="F348" s="184"/>
    </row>
    <row r="349" spans="2:16" x14ac:dyDescent="0.25">
      <c r="F349" s="184"/>
      <c r="G349" s="184"/>
      <c r="H349" s="184"/>
      <c r="I349" s="37"/>
      <c r="J349" s="37"/>
    </row>
    <row r="350" spans="2:16" x14ac:dyDescent="0.25">
      <c r="F350" s="184"/>
      <c r="G350" s="184"/>
      <c r="H350" s="184"/>
      <c r="I350" s="37"/>
      <c r="J350" s="37"/>
    </row>
    <row r="351" spans="2:16" x14ac:dyDescent="0.25">
      <c r="F351" s="184"/>
      <c r="G351" s="184"/>
      <c r="H351" s="184"/>
      <c r="I351" s="37"/>
      <c r="J351" s="37"/>
    </row>
    <row r="352" spans="2:16" x14ac:dyDescent="0.25">
      <c r="F352" s="184"/>
      <c r="G352" s="184"/>
      <c r="H352" s="184"/>
      <c r="I352" s="37"/>
      <c r="J352" s="37"/>
    </row>
    <row r="353" spans="6:11" x14ac:dyDescent="0.25">
      <c r="F353" s="184"/>
      <c r="G353" s="184"/>
      <c r="H353" s="184"/>
      <c r="I353" s="37"/>
      <c r="J353" s="37"/>
    </row>
    <row r="354" spans="6:11" x14ac:dyDescent="0.25">
      <c r="F354" s="184"/>
      <c r="G354" s="184"/>
      <c r="H354" s="184"/>
      <c r="I354" s="37"/>
      <c r="J354" s="37"/>
    </row>
    <row r="355" spans="6:11" x14ac:dyDescent="0.25">
      <c r="F355" s="184"/>
      <c r="G355" s="184"/>
      <c r="H355" s="184"/>
      <c r="I355" s="37"/>
      <c r="J355" s="37"/>
    </row>
    <row r="356" spans="6:11" x14ac:dyDescent="0.25">
      <c r="F356" s="184"/>
      <c r="G356" s="184"/>
      <c r="H356" s="184"/>
      <c r="I356" s="37"/>
      <c r="J356" s="37"/>
      <c r="K356" s="42"/>
    </row>
    <row r="357" spans="6:11" x14ac:dyDescent="0.25">
      <c r="F357" s="184"/>
      <c r="G357" s="184"/>
      <c r="H357" s="184"/>
      <c r="I357" s="37"/>
      <c r="J357" s="37"/>
      <c r="K357" s="42"/>
    </row>
    <row r="358" spans="6:11" x14ac:dyDescent="0.25">
      <c r="F358" s="184"/>
      <c r="G358" s="184"/>
      <c r="H358" s="184"/>
      <c r="I358" s="37"/>
      <c r="J358" s="37"/>
      <c r="K358" s="42"/>
    </row>
    <row r="359" spans="6:11" x14ac:dyDescent="0.25">
      <c r="F359" s="184"/>
      <c r="G359" s="184"/>
      <c r="H359" s="184"/>
      <c r="I359" s="37"/>
      <c r="J359" s="37"/>
      <c r="K359" s="42"/>
    </row>
    <row r="360" spans="6:11" x14ac:dyDescent="0.25">
      <c r="F360" s="184"/>
      <c r="G360" s="184"/>
      <c r="H360" s="184"/>
      <c r="I360" s="37"/>
      <c r="J360" s="37"/>
      <c r="K360" s="42"/>
    </row>
    <row r="361" spans="6:11" x14ac:dyDescent="0.25">
      <c r="F361" s="184"/>
      <c r="G361" s="184"/>
      <c r="H361" s="184"/>
      <c r="I361" s="37"/>
      <c r="J361" s="37"/>
      <c r="K361" s="42"/>
    </row>
    <row r="362" spans="6:11" x14ac:dyDescent="0.25">
      <c r="F362" s="184"/>
      <c r="G362" s="184"/>
      <c r="H362" s="184"/>
      <c r="I362" s="37"/>
      <c r="J362" s="37"/>
      <c r="K362" s="42"/>
    </row>
    <row r="363" spans="6:11" x14ac:dyDescent="0.25">
      <c r="F363" s="184"/>
      <c r="G363" s="184"/>
      <c r="H363" s="184"/>
      <c r="I363" s="37"/>
      <c r="J363" s="37"/>
      <c r="K363" s="42"/>
    </row>
    <row r="364" spans="6:11" x14ac:dyDescent="0.25">
      <c r="F364" s="184"/>
      <c r="G364" s="184"/>
      <c r="H364" s="184"/>
      <c r="I364" s="37"/>
      <c r="J364" s="37"/>
    </row>
    <row r="365" spans="6:11" x14ac:dyDescent="0.25">
      <c r="F365" s="184"/>
      <c r="G365" s="184"/>
      <c r="H365" s="184"/>
      <c r="I365" s="37"/>
      <c r="J365" s="37"/>
    </row>
    <row r="366" spans="6:11" x14ac:dyDescent="0.25">
      <c r="I366" s="42"/>
    </row>
    <row r="367" spans="6:11" x14ac:dyDescent="0.25">
      <c r="I367" s="42"/>
    </row>
    <row r="368" spans="6:11" x14ac:dyDescent="0.25">
      <c r="I368" s="42"/>
    </row>
    <row r="369" spans="9:9" x14ac:dyDescent="0.25">
      <c r="I369" s="42"/>
    </row>
    <row r="370" spans="9:9" x14ac:dyDescent="0.25">
      <c r="I370" s="42"/>
    </row>
    <row r="371" spans="9:9" x14ac:dyDescent="0.25">
      <c r="I371" s="42"/>
    </row>
    <row r="372" spans="9:9" x14ac:dyDescent="0.25">
      <c r="I372" s="42"/>
    </row>
    <row r="373" spans="9:9" x14ac:dyDescent="0.25">
      <c r="I373" s="42"/>
    </row>
    <row r="374" spans="9:9" x14ac:dyDescent="0.25">
      <c r="I374" s="42"/>
    </row>
    <row r="375" spans="9:9" x14ac:dyDescent="0.25">
      <c r="I375" s="42"/>
    </row>
    <row r="376" spans="9:9" x14ac:dyDescent="0.25">
      <c r="I376" s="42"/>
    </row>
    <row r="377" spans="9:9" x14ac:dyDescent="0.25">
      <c r="I377" s="42"/>
    </row>
    <row r="378" spans="9:9" x14ac:dyDescent="0.25">
      <c r="I378" s="42"/>
    </row>
    <row r="379" spans="9:9" x14ac:dyDescent="0.25">
      <c r="I379" s="42"/>
    </row>
    <row r="380" spans="9:9" x14ac:dyDescent="0.25">
      <c r="I380" s="42"/>
    </row>
    <row r="381" spans="9:9" x14ac:dyDescent="0.25">
      <c r="I381" s="42"/>
    </row>
    <row r="382" spans="9:9" x14ac:dyDescent="0.25">
      <c r="I382" s="42"/>
    </row>
    <row r="383" spans="9:9" x14ac:dyDescent="0.25">
      <c r="I383" s="42"/>
    </row>
    <row r="384" spans="9:9" x14ac:dyDescent="0.25">
      <c r="I384" s="42"/>
    </row>
    <row r="385" spans="9:9" x14ac:dyDescent="0.25">
      <c r="I385" s="42"/>
    </row>
    <row r="386" spans="9:9" x14ac:dyDescent="0.25">
      <c r="I386" s="42"/>
    </row>
    <row r="387" spans="9:9" x14ac:dyDescent="0.25">
      <c r="I387" s="42"/>
    </row>
    <row r="388" spans="9:9" x14ac:dyDescent="0.25">
      <c r="I388" s="42"/>
    </row>
    <row r="389" spans="9:9" x14ac:dyDescent="0.25">
      <c r="I389" s="42"/>
    </row>
    <row r="390" spans="9:9" x14ac:dyDescent="0.25">
      <c r="I390" s="42"/>
    </row>
    <row r="391" spans="9:9" x14ac:dyDescent="0.25">
      <c r="I391" s="42"/>
    </row>
    <row r="392" spans="9:9" x14ac:dyDescent="0.25">
      <c r="I392" s="42"/>
    </row>
    <row r="393" spans="9:9" x14ac:dyDescent="0.25">
      <c r="I393" s="42"/>
    </row>
    <row r="394" spans="9:9" x14ac:dyDescent="0.25">
      <c r="I394" s="42"/>
    </row>
  </sheetData>
  <sheetProtection algorithmName="SHA-512" hashValue="VMy3rmAyQClSzIZ4rAYis+jxPLp1P+us2RLk0IzoIclD3CwG9sLJhyuvtW16XoNIbCJR+A4flsSFUvL3FtuIHQ==" saltValue="V/OpEirxHM1QZQ7ef92tTg==" spinCount="100000" sheet="1" objects="1" scenarios="1"/>
  <mergeCells count="1">
    <mergeCell ref="B2:P4"/>
  </mergeCells>
  <phoneticPr fontId="29" type="noConversion"/>
  <dataValidations count="1">
    <dataValidation allowBlank="1" showInputMessage="1" showErrorMessage="1" prompt="This value is dependent on the rainfall volume." sqref="I298:J300 I294:J294" xr:uid="{5683ECF9-B236-43B7-B2FD-F42CED51FC31}"/>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57B19-25EC-43DA-ADD7-404C4BF7E427}">
  <dimension ref="B2:N121"/>
  <sheetViews>
    <sheetView showRowColHeaders="0" topLeftCell="A22" zoomScaleNormal="100" workbookViewId="0">
      <selection activeCell="B36" sqref="B36:M36"/>
    </sheetView>
  </sheetViews>
  <sheetFormatPr defaultColWidth="9.109375" defaultRowHeight="14.4" x14ac:dyDescent="0.3"/>
  <cols>
    <col min="1" max="13" width="9.109375" style="141"/>
    <col min="14" max="14" width="1.6640625" style="141" customWidth="1"/>
    <col min="15" max="16384" width="9.109375" style="141"/>
  </cols>
  <sheetData>
    <row r="2" spans="2:14" ht="15" thickBot="1" x14ac:dyDescent="0.35"/>
    <row r="3" spans="2:14" ht="15.75" customHeight="1" thickTop="1" x14ac:dyDescent="0.3">
      <c r="B3" s="238" t="s">
        <v>192</v>
      </c>
      <c r="C3" s="239"/>
      <c r="D3" s="239"/>
      <c r="E3" s="239"/>
      <c r="F3" s="239"/>
      <c r="G3" s="239"/>
      <c r="H3" s="239"/>
      <c r="I3" s="239"/>
      <c r="J3" s="239"/>
      <c r="K3" s="239"/>
      <c r="L3" s="239"/>
      <c r="M3" s="239"/>
      <c r="N3" s="240"/>
    </row>
    <row r="4" spans="2:14" ht="15" customHeight="1" x14ac:dyDescent="0.3">
      <c r="B4" s="241"/>
      <c r="C4" s="242"/>
      <c r="D4" s="242"/>
      <c r="E4" s="242"/>
      <c r="F4" s="242"/>
      <c r="G4" s="242"/>
      <c r="H4" s="242"/>
      <c r="I4" s="242"/>
      <c r="J4" s="242"/>
      <c r="K4" s="242"/>
      <c r="L4" s="242"/>
      <c r="M4" s="242"/>
      <c r="N4" s="243"/>
    </row>
    <row r="5" spans="2:14" ht="15" customHeight="1" x14ac:dyDescent="0.3">
      <c r="B5" s="241"/>
      <c r="C5" s="242"/>
      <c r="D5" s="242"/>
      <c r="E5" s="242"/>
      <c r="F5" s="242"/>
      <c r="G5" s="242"/>
      <c r="H5" s="242"/>
      <c r="I5" s="242"/>
      <c r="J5" s="242"/>
      <c r="K5" s="242"/>
      <c r="L5" s="242"/>
      <c r="M5" s="242"/>
      <c r="N5" s="243"/>
    </row>
    <row r="6" spans="2:14" ht="8.25" customHeight="1" x14ac:dyDescent="0.3">
      <c r="B6" s="136"/>
      <c r="C6" s="1"/>
      <c r="D6" s="1"/>
      <c r="E6" s="1"/>
      <c r="F6" s="1"/>
      <c r="G6" s="1"/>
      <c r="H6" s="1"/>
      <c r="I6" s="1"/>
      <c r="J6" s="1"/>
      <c r="K6" s="1"/>
      <c r="L6" s="1"/>
      <c r="M6" s="1"/>
      <c r="N6" s="126"/>
    </row>
    <row r="7" spans="2:14" ht="56.25" customHeight="1" x14ac:dyDescent="0.3">
      <c r="B7" s="244" t="s">
        <v>268</v>
      </c>
      <c r="C7" s="245"/>
      <c r="D7" s="245"/>
      <c r="E7" s="245"/>
      <c r="F7" s="245"/>
      <c r="G7" s="245"/>
      <c r="H7" s="245"/>
      <c r="I7" s="245"/>
      <c r="J7" s="245"/>
      <c r="K7" s="245"/>
      <c r="L7" s="245"/>
      <c r="M7" s="245"/>
      <c r="N7" s="126"/>
    </row>
    <row r="8" spans="2:14" ht="59.25" customHeight="1" x14ac:dyDescent="0.3">
      <c r="B8" s="246" t="s">
        <v>269</v>
      </c>
      <c r="C8" s="247"/>
      <c r="D8" s="247"/>
      <c r="E8" s="247"/>
      <c r="F8" s="247"/>
      <c r="G8" s="247"/>
      <c r="H8" s="247"/>
      <c r="I8" s="247"/>
      <c r="J8" s="247"/>
      <c r="K8" s="247"/>
      <c r="L8" s="247"/>
      <c r="M8" s="247"/>
      <c r="N8" s="126"/>
    </row>
    <row r="9" spans="2:14" x14ac:dyDescent="0.3">
      <c r="B9" s="137"/>
      <c r="C9" s="22"/>
      <c r="D9" s="22"/>
      <c r="E9" s="22"/>
      <c r="F9" s="22"/>
      <c r="G9" s="22"/>
      <c r="H9" s="22"/>
      <c r="I9" s="22"/>
      <c r="J9" s="22"/>
      <c r="K9" s="22"/>
      <c r="L9" s="22"/>
      <c r="M9" s="22"/>
      <c r="N9" s="126"/>
    </row>
    <row r="10" spans="2:14" x14ac:dyDescent="0.3">
      <c r="B10" s="137"/>
      <c r="C10" s="22"/>
      <c r="D10" s="22"/>
      <c r="E10" s="22"/>
      <c r="F10" s="22"/>
      <c r="G10" s="22"/>
      <c r="H10" s="22"/>
      <c r="I10" s="22"/>
      <c r="J10" s="22"/>
      <c r="K10" s="22"/>
      <c r="L10" s="22"/>
      <c r="M10" s="22"/>
      <c r="N10" s="126"/>
    </row>
    <row r="11" spans="2:14" x14ac:dyDescent="0.3">
      <c r="B11" s="137"/>
      <c r="C11" s="22"/>
      <c r="D11" s="22"/>
      <c r="E11" s="22"/>
      <c r="F11" s="22"/>
      <c r="G11" s="22"/>
      <c r="H11" s="22"/>
      <c r="I11" s="22"/>
      <c r="J11" s="22"/>
      <c r="K11" s="22"/>
      <c r="L11" s="22"/>
      <c r="M11" s="22"/>
      <c r="N11" s="126"/>
    </row>
    <row r="12" spans="2:14" x14ac:dyDescent="0.3">
      <c r="B12" s="137"/>
      <c r="C12" s="22"/>
      <c r="D12" s="22"/>
      <c r="E12" s="22"/>
      <c r="F12" s="22"/>
      <c r="G12" s="22"/>
      <c r="H12" s="22"/>
      <c r="I12" s="22"/>
      <c r="J12" s="22"/>
      <c r="K12" s="22"/>
      <c r="L12" s="22"/>
      <c r="M12" s="22"/>
      <c r="N12" s="126"/>
    </row>
    <row r="13" spans="2:14" x14ac:dyDescent="0.3">
      <c r="B13" s="137"/>
      <c r="C13" s="22"/>
      <c r="D13" s="22"/>
      <c r="E13" s="22"/>
      <c r="F13" s="22"/>
      <c r="G13" s="22"/>
      <c r="H13" s="22"/>
      <c r="I13" s="22"/>
      <c r="J13" s="22"/>
      <c r="K13" s="22"/>
      <c r="L13" s="22"/>
      <c r="M13" s="22"/>
      <c r="N13" s="126"/>
    </row>
    <row r="14" spans="2:14" x14ac:dyDescent="0.3">
      <c r="B14" s="137"/>
      <c r="C14" s="22"/>
      <c r="D14" s="22"/>
      <c r="E14" s="22"/>
      <c r="F14" s="22"/>
      <c r="G14" s="22"/>
      <c r="H14" s="22"/>
      <c r="I14" s="22"/>
      <c r="J14" s="22"/>
      <c r="K14" s="22"/>
      <c r="L14" s="22"/>
      <c r="M14" s="22"/>
      <c r="N14" s="126"/>
    </row>
    <row r="15" spans="2:14" x14ac:dyDescent="0.3">
      <c r="B15" s="137"/>
      <c r="C15" s="22"/>
      <c r="D15" s="22"/>
      <c r="E15" s="22"/>
      <c r="F15" s="22"/>
      <c r="G15" s="22"/>
      <c r="H15" s="22"/>
      <c r="I15" s="22"/>
      <c r="J15" s="22"/>
      <c r="K15" s="22"/>
      <c r="L15" s="22"/>
      <c r="M15" s="22"/>
      <c r="N15" s="126"/>
    </row>
    <row r="16" spans="2:14" x14ac:dyDescent="0.3">
      <c r="B16" s="137"/>
      <c r="C16" s="22"/>
      <c r="D16" s="22"/>
      <c r="E16" s="22"/>
      <c r="F16" s="22"/>
      <c r="G16" s="22"/>
      <c r="H16" s="22"/>
      <c r="I16" s="22"/>
      <c r="J16" s="22"/>
      <c r="K16" s="22"/>
      <c r="L16" s="22"/>
      <c r="M16" s="22"/>
      <c r="N16" s="126"/>
    </row>
    <row r="17" spans="2:14" x14ac:dyDescent="0.3">
      <c r="B17" s="137"/>
      <c r="C17" s="22"/>
      <c r="D17" s="22"/>
      <c r="E17" s="22"/>
      <c r="F17" s="22"/>
      <c r="G17" s="22"/>
      <c r="H17" s="22"/>
      <c r="I17" s="22"/>
      <c r="J17" s="22"/>
      <c r="K17" s="22"/>
      <c r="L17" s="22"/>
      <c r="M17" s="22"/>
      <c r="N17" s="126"/>
    </row>
    <row r="18" spans="2:14" x14ac:dyDescent="0.3">
      <c r="B18" s="137"/>
      <c r="C18" s="22"/>
      <c r="D18" s="22"/>
      <c r="E18" s="22"/>
      <c r="F18" s="22"/>
      <c r="G18" s="22"/>
      <c r="H18" s="22"/>
      <c r="I18" s="22"/>
      <c r="J18" s="22"/>
      <c r="K18" s="22"/>
      <c r="L18" s="22"/>
      <c r="M18" s="22"/>
      <c r="N18" s="126"/>
    </row>
    <row r="19" spans="2:14" x14ac:dyDescent="0.3">
      <c r="B19" s="137"/>
      <c r="C19" s="22"/>
      <c r="D19" s="22"/>
      <c r="E19" s="22"/>
      <c r="F19" s="22"/>
      <c r="G19" s="22"/>
      <c r="H19" s="22"/>
      <c r="I19" s="22"/>
      <c r="J19" s="22"/>
      <c r="K19" s="22"/>
      <c r="L19" s="22"/>
      <c r="M19" s="22"/>
      <c r="N19" s="126"/>
    </row>
    <row r="20" spans="2:14" x14ac:dyDescent="0.3">
      <c r="B20" s="137"/>
      <c r="C20" s="22"/>
      <c r="D20" s="22"/>
      <c r="E20" s="22"/>
      <c r="F20" s="22"/>
      <c r="G20" s="22"/>
      <c r="H20" s="22"/>
      <c r="I20" s="22"/>
      <c r="J20" s="22"/>
      <c r="K20" s="22"/>
      <c r="L20" s="22"/>
      <c r="M20" s="22"/>
      <c r="N20" s="126"/>
    </row>
    <row r="21" spans="2:14" x14ac:dyDescent="0.3">
      <c r="B21" s="137"/>
      <c r="C21" s="22"/>
      <c r="D21" s="22"/>
      <c r="E21" s="22"/>
      <c r="F21" s="22"/>
      <c r="G21" s="22"/>
      <c r="H21" s="22"/>
      <c r="I21" s="22"/>
      <c r="J21" s="22"/>
      <c r="K21" s="22"/>
      <c r="L21" s="22"/>
      <c r="M21" s="22"/>
      <c r="N21" s="126"/>
    </row>
    <row r="22" spans="2:14" x14ac:dyDescent="0.3">
      <c r="B22" s="137"/>
      <c r="C22" s="22"/>
      <c r="D22" s="22"/>
      <c r="E22" s="22"/>
      <c r="F22" s="22"/>
      <c r="G22" s="22"/>
      <c r="H22" s="22"/>
      <c r="I22" s="22"/>
      <c r="J22" s="22"/>
      <c r="K22" s="22"/>
      <c r="L22" s="22"/>
      <c r="M22" s="22"/>
      <c r="N22" s="126"/>
    </row>
    <row r="23" spans="2:14" x14ac:dyDescent="0.3">
      <c r="B23" s="137"/>
      <c r="C23" s="22"/>
      <c r="D23" s="22"/>
      <c r="E23" s="22"/>
      <c r="F23" s="22"/>
      <c r="G23" s="22"/>
      <c r="H23" s="22"/>
      <c r="I23" s="22"/>
      <c r="J23" s="22"/>
      <c r="K23" s="22"/>
      <c r="L23" s="22"/>
      <c r="M23" s="22"/>
      <c r="N23" s="126"/>
    </row>
    <row r="24" spans="2:14" x14ac:dyDescent="0.3">
      <c r="B24" s="137"/>
      <c r="C24" s="22"/>
      <c r="D24" s="22"/>
      <c r="E24" s="22"/>
      <c r="F24" s="22"/>
      <c r="G24" s="22"/>
      <c r="H24" s="22"/>
      <c r="I24" s="22"/>
      <c r="J24" s="22"/>
      <c r="K24" s="22"/>
      <c r="L24" s="22"/>
      <c r="M24" s="22"/>
      <c r="N24" s="126"/>
    </row>
    <row r="25" spans="2:14" x14ac:dyDescent="0.3">
      <c r="B25" s="137"/>
      <c r="C25" s="22"/>
      <c r="D25" s="22"/>
      <c r="E25" s="22"/>
      <c r="F25" s="22"/>
      <c r="G25" s="22"/>
      <c r="H25" s="22"/>
      <c r="I25" s="22"/>
      <c r="J25" s="22"/>
      <c r="K25" s="22"/>
      <c r="L25" s="22"/>
      <c r="M25" s="22"/>
      <c r="N25" s="126"/>
    </row>
    <row r="26" spans="2:14" x14ac:dyDescent="0.3">
      <c r="B26" s="137"/>
      <c r="C26" s="22"/>
      <c r="D26" s="22"/>
      <c r="E26" s="22"/>
      <c r="F26" s="22"/>
      <c r="G26" s="22"/>
      <c r="H26" s="22"/>
      <c r="I26" s="22"/>
      <c r="J26" s="22"/>
      <c r="K26" s="22"/>
      <c r="L26" s="22"/>
      <c r="M26" s="22"/>
      <c r="N26" s="126"/>
    </row>
    <row r="27" spans="2:14" x14ac:dyDescent="0.3">
      <c r="B27" s="137"/>
      <c r="C27" s="22"/>
      <c r="D27" s="22"/>
      <c r="E27" s="22"/>
      <c r="F27" s="22"/>
      <c r="G27" s="22"/>
      <c r="H27" s="22"/>
      <c r="I27" s="22"/>
      <c r="J27" s="22"/>
      <c r="K27" s="22"/>
      <c r="L27" s="22"/>
      <c r="M27" s="22"/>
      <c r="N27" s="126"/>
    </row>
    <row r="28" spans="2:14" x14ac:dyDescent="0.3">
      <c r="B28" s="137"/>
      <c r="C28" s="22"/>
      <c r="D28" s="22"/>
      <c r="E28" s="22"/>
      <c r="F28" s="22"/>
      <c r="G28" s="22"/>
      <c r="H28" s="22"/>
      <c r="I28" s="22"/>
      <c r="J28" s="22"/>
      <c r="K28" s="22"/>
      <c r="L28" s="22"/>
      <c r="M28" s="22"/>
      <c r="N28" s="126"/>
    </row>
    <row r="29" spans="2:14" x14ac:dyDescent="0.3">
      <c r="B29" s="137"/>
      <c r="C29" s="22"/>
      <c r="D29" s="22"/>
      <c r="E29" s="22"/>
      <c r="F29" s="22"/>
      <c r="G29" s="22"/>
      <c r="H29" s="22"/>
      <c r="I29" s="22"/>
      <c r="J29" s="22"/>
      <c r="K29" s="22"/>
      <c r="L29" s="22"/>
      <c r="M29" s="22"/>
      <c r="N29" s="126"/>
    </row>
    <row r="30" spans="2:14" x14ac:dyDescent="0.3">
      <c r="B30" s="137"/>
      <c r="C30" s="22"/>
      <c r="D30" s="22"/>
      <c r="E30" s="22"/>
      <c r="F30" s="22"/>
      <c r="G30" s="22"/>
      <c r="H30" s="22"/>
      <c r="I30" s="22"/>
      <c r="J30" s="22"/>
      <c r="K30" s="22"/>
      <c r="L30" s="22"/>
      <c r="M30" s="22"/>
      <c r="N30" s="126"/>
    </row>
    <row r="31" spans="2:14" x14ac:dyDescent="0.3">
      <c r="B31" s="137"/>
      <c r="C31" s="22"/>
      <c r="D31" s="22"/>
      <c r="E31" s="22"/>
      <c r="F31" s="22"/>
      <c r="G31" s="22"/>
      <c r="H31" s="22"/>
      <c r="I31" s="22"/>
      <c r="J31" s="22"/>
      <c r="K31" s="22"/>
      <c r="L31" s="22"/>
      <c r="M31" s="22"/>
      <c r="N31" s="126"/>
    </row>
    <row r="32" spans="2:14" x14ac:dyDescent="0.3">
      <c r="B32" s="137"/>
      <c r="C32" s="22"/>
      <c r="D32" s="22"/>
      <c r="E32" s="22"/>
      <c r="F32" s="22"/>
      <c r="G32" s="22"/>
      <c r="H32" s="22"/>
      <c r="I32" s="22"/>
      <c r="J32" s="22"/>
      <c r="K32" s="22"/>
      <c r="L32" s="22"/>
      <c r="M32" s="22"/>
      <c r="N32" s="126"/>
    </row>
    <row r="33" spans="2:14" x14ac:dyDescent="0.3">
      <c r="B33" s="137"/>
      <c r="C33" s="22"/>
      <c r="D33" s="22"/>
      <c r="E33" s="22"/>
      <c r="F33" s="22"/>
      <c r="G33" s="22"/>
      <c r="H33" s="22"/>
      <c r="I33" s="22"/>
      <c r="J33" s="22"/>
      <c r="K33" s="22"/>
      <c r="L33" s="22"/>
      <c r="M33" s="22"/>
      <c r="N33" s="126"/>
    </row>
    <row r="34" spans="2:14" ht="57.75" customHeight="1" x14ac:dyDescent="0.3">
      <c r="B34" s="246" t="s">
        <v>270</v>
      </c>
      <c r="C34" s="247"/>
      <c r="D34" s="247"/>
      <c r="E34" s="247"/>
      <c r="F34" s="247"/>
      <c r="G34" s="247"/>
      <c r="H34" s="247"/>
      <c r="I34" s="247"/>
      <c r="J34" s="247"/>
      <c r="K34" s="247"/>
      <c r="L34" s="247"/>
      <c r="M34" s="247"/>
      <c r="N34" s="126"/>
    </row>
    <row r="35" spans="2:14" ht="60" customHeight="1" x14ac:dyDescent="0.3">
      <c r="B35" s="244" t="s">
        <v>257</v>
      </c>
      <c r="C35" s="245"/>
      <c r="D35" s="245"/>
      <c r="E35" s="245"/>
      <c r="F35" s="245"/>
      <c r="G35" s="245"/>
      <c r="H35" s="245"/>
      <c r="I35" s="245"/>
      <c r="J35" s="245"/>
      <c r="K35" s="245"/>
      <c r="L35" s="245"/>
      <c r="M35" s="245"/>
      <c r="N35" s="126"/>
    </row>
    <row r="36" spans="2:14" ht="81.75" customHeight="1" thickBot="1" x14ac:dyDescent="0.35">
      <c r="B36" s="236" t="s">
        <v>271</v>
      </c>
      <c r="C36" s="237"/>
      <c r="D36" s="237"/>
      <c r="E36" s="237"/>
      <c r="F36" s="237"/>
      <c r="G36" s="237"/>
      <c r="H36" s="237"/>
      <c r="I36" s="237"/>
      <c r="J36" s="237"/>
      <c r="K36" s="237"/>
      <c r="L36" s="237"/>
      <c r="M36" s="237"/>
      <c r="N36" s="140"/>
    </row>
    <row r="37" spans="2:14" ht="15" thickTop="1" x14ac:dyDescent="0.3">
      <c r="B37" s="32"/>
      <c r="C37" s="32"/>
      <c r="D37" s="32"/>
      <c r="E37" s="32"/>
      <c r="F37" s="32"/>
      <c r="G37" s="32"/>
      <c r="H37" s="32"/>
      <c r="I37" s="32"/>
      <c r="J37" s="32"/>
      <c r="K37" s="32"/>
      <c r="L37" s="32"/>
      <c r="M37" s="32"/>
    </row>
    <row r="38" spans="2:14" x14ac:dyDescent="0.3">
      <c r="B38" s="32"/>
      <c r="C38" s="32"/>
      <c r="D38" s="32"/>
      <c r="E38" s="32"/>
      <c r="F38" s="32"/>
      <c r="G38" s="32"/>
      <c r="H38" s="32"/>
      <c r="I38" s="32"/>
      <c r="J38" s="32"/>
      <c r="K38" s="32"/>
      <c r="L38" s="32"/>
      <c r="M38" s="32"/>
    </row>
    <row r="39" spans="2:14" x14ac:dyDescent="0.3">
      <c r="B39" s="32"/>
      <c r="C39" s="32"/>
      <c r="D39" s="32"/>
      <c r="E39" s="32"/>
      <c r="F39" s="32"/>
      <c r="G39" s="32"/>
      <c r="H39" s="32"/>
      <c r="I39" s="32"/>
      <c r="J39" s="32"/>
      <c r="K39" s="32"/>
      <c r="L39" s="32"/>
      <c r="M39" s="32"/>
    </row>
    <row r="40" spans="2:14" x14ac:dyDescent="0.3">
      <c r="B40" s="32"/>
      <c r="C40" s="32"/>
      <c r="D40" s="32"/>
      <c r="E40" s="32"/>
      <c r="F40" s="32"/>
      <c r="G40" s="32"/>
      <c r="H40" s="32"/>
      <c r="I40" s="32"/>
      <c r="J40" s="32"/>
      <c r="K40" s="32"/>
      <c r="L40" s="32"/>
      <c r="M40" s="32"/>
    </row>
    <row r="41" spans="2:14" x14ac:dyDescent="0.3">
      <c r="B41" s="32"/>
      <c r="C41" s="32"/>
      <c r="D41" s="32"/>
      <c r="E41" s="32"/>
      <c r="F41" s="32"/>
      <c r="G41" s="32"/>
      <c r="H41" s="32"/>
      <c r="I41" s="32"/>
      <c r="J41" s="32"/>
      <c r="K41" s="32"/>
      <c r="L41" s="32"/>
      <c r="M41" s="32"/>
    </row>
    <row r="42" spans="2:14" x14ac:dyDescent="0.3">
      <c r="B42" s="32"/>
      <c r="C42" s="32"/>
      <c r="D42" s="32"/>
      <c r="E42" s="32"/>
      <c r="F42" s="32"/>
      <c r="G42" s="32"/>
      <c r="H42" s="32"/>
      <c r="I42" s="32"/>
      <c r="J42" s="32"/>
      <c r="K42" s="32"/>
      <c r="L42" s="32"/>
      <c r="M42" s="32"/>
    </row>
    <row r="43" spans="2:14" x14ac:dyDescent="0.3">
      <c r="B43" s="32"/>
      <c r="C43" s="32"/>
      <c r="D43" s="32"/>
      <c r="E43" s="32"/>
      <c r="F43" s="32"/>
      <c r="G43" s="32"/>
      <c r="H43" s="32"/>
      <c r="I43" s="32"/>
      <c r="J43" s="32"/>
      <c r="K43" s="32"/>
      <c r="L43" s="32"/>
      <c r="M43" s="32"/>
    </row>
    <row r="44" spans="2:14" x14ac:dyDescent="0.3">
      <c r="B44" s="32"/>
      <c r="C44" s="32"/>
      <c r="D44" s="32"/>
      <c r="E44" s="32"/>
      <c r="F44" s="32"/>
      <c r="G44" s="32"/>
      <c r="H44" s="32"/>
      <c r="I44" s="32"/>
      <c r="J44" s="32"/>
      <c r="K44" s="32"/>
      <c r="L44" s="32"/>
      <c r="M44" s="32"/>
    </row>
    <row r="45" spans="2:14" x14ac:dyDescent="0.3">
      <c r="B45" s="32"/>
      <c r="C45" s="32"/>
      <c r="D45" s="32"/>
      <c r="E45" s="32"/>
      <c r="F45" s="32"/>
      <c r="G45" s="32"/>
      <c r="H45" s="32"/>
      <c r="I45" s="32"/>
      <c r="J45" s="32"/>
      <c r="K45" s="32"/>
      <c r="L45" s="32"/>
      <c r="M45" s="32"/>
    </row>
    <row r="46" spans="2:14" x14ac:dyDescent="0.3">
      <c r="B46" s="32"/>
      <c r="C46" s="32"/>
      <c r="D46" s="32"/>
      <c r="E46" s="32"/>
      <c r="F46" s="32"/>
      <c r="G46" s="32"/>
      <c r="H46" s="32"/>
      <c r="I46" s="32"/>
      <c r="J46" s="32"/>
      <c r="K46" s="32"/>
      <c r="L46" s="32"/>
      <c r="M46" s="32"/>
    </row>
    <row r="47" spans="2:14" x14ac:dyDescent="0.3">
      <c r="B47" s="32"/>
      <c r="C47" s="32"/>
      <c r="D47" s="32"/>
      <c r="E47" s="32"/>
      <c r="F47" s="32"/>
      <c r="G47" s="32"/>
      <c r="H47" s="32"/>
      <c r="I47" s="32"/>
      <c r="J47" s="32"/>
      <c r="K47" s="32"/>
      <c r="L47" s="32"/>
      <c r="M47" s="32"/>
    </row>
    <row r="48" spans="2:14" x14ac:dyDescent="0.3">
      <c r="B48" s="32"/>
      <c r="C48" s="32"/>
      <c r="D48" s="32"/>
      <c r="E48" s="32"/>
      <c r="F48" s="32"/>
      <c r="G48" s="32"/>
      <c r="H48" s="32"/>
      <c r="I48" s="32"/>
      <c r="J48" s="32"/>
      <c r="K48" s="32"/>
      <c r="L48" s="32"/>
      <c r="M48" s="32"/>
    </row>
    <row r="49" spans="2:13" x14ac:dyDescent="0.3">
      <c r="B49" s="32"/>
      <c r="C49" s="32"/>
      <c r="D49" s="32"/>
      <c r="E49" s="32"/>
      <c r="F49" s="32"/>
      <c r="G49" s="32"/>
      <c r="H49" s="32"/>
      <c r="I49" s="32"/>
      <c r="J49" s="32"/>
      <c r="K49" s="32"/>
      <c r="L49" s="32"/>
      <c r="M49" s="32"/>
    </row>
    <row r="50" spans="2:13" x14ac:dyDescent="0.3">
      <c r="B50" s="32"/>
      <c r="C50" s="32"/>
      <c r="D50" s="32"/>
      <c r="E50" s="32"/>
      <c r="F50" s="32"/>
      <c r="G50" s="32"/>
      <c r="H50" s="32"/>
      <c r="I50" s="32"/>
      <c r="J50" s="32"/>
      <c r="K50" s="32"/>
      <c r="L50" s="32"/>
      <c r="M50" s="32"/>
    </row>
    <row r="51" spans="2:13" x14ac:dyDescent="0.3">
      <c r="B51" s="32"/>
      <c r="C51" s="32"/>
      <c r="D51" s="32"/>
      <c r="E51" s="32"/>
      <c r="F51" s="32"/>
      <c r="G51" s="32"/>
      <c r="H51" s="32"/>
      <c r="I51" s="32"/>
      <c r="J51" s="32"/>
      <c r="K51" s="32"/>
      <c r="L51" s="32"/>
      <c r="M51" s="32"/>
    </row>
    <row r="52" spans="2:13" x14ac:dyDescent="0.3">
      <c r="B52" s="32"/>
      <c r="C52" s="32"/>
      <c r="D52" s="32"/>
      <c r="E52" s="32"/>
      <c r="F52" s="32"/>
      <c r="G52" s="32"/>
      <c r="H52" s="32"/>
      <c r="I52" s="32"/>
      <c r="J52" s="32"/>
      <c r="K52" s="32"/>
      <c r="L52" s="32"/>
      <c r="M52" s="32"/>
    </row>
    <row r="53" spans="2:13" x14ac:dyDescent="0.3">
      <c r="B53" s="32"/>
      <c r="C53" s="32"/>
      <c r="D53" s="32"/>
      <c r="E53" s="32"/>
      <c r="F53" s="32"/>
      <c r="G53" s="32"/>
      <c r="H53" s="32"/>
      <c r="I53" s="32"/>
      <c r="J53" s="32"/>
      <c r="K53" s="32"/>
      <c r="L53" s="32"/>
      <c r="M53" s="32"/>
    </row>
    <row r="54" spans="2:13" x14ac:dyDescent="0.3">
      <c r="B54" s="32"/>
      <c r="C54" s="32"/>
      <c r="D54" s="32"/>
      <c r="E54" s="32"/>
      <c r="F54" s="32"/>
      <c r="G54" s="32"/>
      <c r="H54" s="32"/>
      <c r="I54" s="32"/>
      <c r="J54" s="32"/>
      <c r="K54" s="32"/>
      <c r="L54" s="32"/>
      <c r="M54" s="32"/>
    </row>
    <row r="55" spans="2:13" x14ac:dyDescent="0.3">
      <c r="B55" s="32"/>
      <c r="C55" s="32"/>
      <c r="D55" s="32"/>
      <c r="E55" s="32"/>
      <c r="F55" s="32"/>
      <c r="G55" s="32"/>
      <c r="H55" s="32"/>
      <c r="I55" s="32"/>
      <c r="J55" s="32"/>
      <c r="K55" s="32"/>
      <c r="L55" s="32"/>
      <c r="M55" s="32"/>
    </row>
    <row r="56" spans="2:13" x14ac:dyDescent="0.3">
      <c r="B56" s="32"/>
      <c r="C56" s="32"/>
      <c r="D56" s="32"/>
      <c r="E56" s="32"/>
      <c r="F56" s="32"/>
      <c r="G56" s="32"/>
      <c r="H56" s="32"/>
      <c r="I56" s="32"/>
      <c r="J56" s="32"/>
      <c r="K56" s="32"/>
      <c r="L56" s="32"/>
      <c r="M56" s="32"/>
    </row>
    <row r="57" spans="2:13" x14ac:dyDescent="0.3">
      <c r="B57" s="32"/>
      <c r="C57" s="32"/>
      <c r="D57" s="32"/>
      <c r="E57" s="32"/>
      <c r="F57" s="32"/>
      <c r="G57" s="32"/>
      <c r="H57" s="32"/>
      <c r="I57" s="32"/>
      <c r="J57" s="32"/>
      <c r="K57" s="32"/>
      <c r="L57" s="32"/>
      <c r="M57" s="32"/>
    </row>
    <row r="58" spans="2:13" x14ac:dyDescent="0.3">
      <c r="B58" s="32"/>
      <c r="C58" s="32"/>
      <c r="D58" s="32"/>
      <c r="E58" s="32"/>
      <c r="F58" s="32"/>
      <c r="G58" s="32"/>
      <c r="H58" s="32"/>
      <c r="I58" s="32"/>
      <c r="J58" s="32"/>
      <c r="K58" s="32"/>
      <c r="L58" s="32"/>
      <c r="M58" s="32"/>
    </row>
    <row r="59" spans="2:13" x14ac:dyDescent="0.3">
      <c r="B59" s="32"/>
      <c r="C59" s="32"/>
      <c r="D59" s="32"/>
      <c r="E59" s="32"/>
      <c r="F59" s="32"/>
      <c r="G59" s="32"/>
      <c r="H59" s="32"/>
      <c r="I59" s="32"/>
      <c r="J59" s="32"/>
      <c r="K59" s="32"/>
      <c r="L59" s="32"/>
      <c r="M59" s="32"/>
    </row>
    <row r="60" spans="2:13" x14ac:dyDescent="0.3">
      <c r="B60" s="32"/>
      <c r="C60" s="32"/>
      <c r="D60" s="32"/>
      <c r="E60" s="32"/>
      <c r="F60" s="32"/>
      <c r="G60" s="32"/>
      <c r="H60" s="32"/>
      <c r="I60" s="32"/>
      <c r="J60" s="32"/>
      <c r="K60" s="32"/>
      <c r="L60" s="32"/>
      <c r="M60" s="32"/>
    </row>
    <row r="61" spans="2:13" x14ac:dyDescent="0.3">
      <c r="B61" s="32"/>
      <c r="C61" s="32"/>
      <c r="D61" s="32"/>
      <c r="E61" s="32"/>
      <c r="F61" s="32"/>
      <c r="G61" s="32"/>
      <c r="H61" s="32"/>
      <c r="I61" s="32"/>
      <c r="J61" s="32"/>
      <c r="K61" s="32"/>
      <c r="L61" s="32"/>
      <c r="M61" s="32"/>
    </row>
    <row r="62" spans="2:13" x14ac:dyDescent="0.3">
      <c r="B62" s="32"/>
      <c r="C62" s="32"/>
      <c r="D62" s="32"/>
      <c r="E62" s="32"/>
      <c r="F62" s="32"/>
      <c r="G62" s="32"/>
      <c r="H62" s="32"/>
      <c r="I62" s="32"/>
      <c r="J62" s="32"/>
      <c r="K62" s="32"/>
      <c r="L62" s="32"/>
      <c r="M62" s="32"/>
    </row>
    <row r="63" spans="2:13" x14ac:dyDescent="0.3">
      <c r="B63" s="32"/>
      <c r="C63" s="32"/>
      <c r="D63" s="32"/>
      <c r="E63" s="32"/>
      <c r="F63" s="32"/>
      <c r="G63" s="32"/>
      <c r="H63" s="32"/>
      <c r="I63" s="32"/>
      <c r="J63" s="32"/>
      <c r="K63" s="32"/>
      <c r="L63" s="32"/>
      <c r="M63" s="32"/>
    </row>
    <row r="64" spans="2:13" x14ac:dyDescent="0.3">
      <c r="B64" s="32"/>
      <c r="C64" s="32"/>
      <c r="D64" s="32"/>
      <c r="E64" s="32"/>
      <c r="F64" s="32"/>
      <c r="G64" s="32"/>
      <c r="H64" s="32"/>
      <c r="I64" s="32"/>
      <c r="J64" s="32"/>
      <c r="K64" s="32"/>
      <c r="L64" s="32"/>
      <c r="M64" s="32"/>
    </row>
    <row r="65" spans="2:13" x14ac:dyDescent="0.3">
      <c r="B65" s="32"/>
      <c r="C65" s="32"/>
      <c r="D65" s="32"/>
      <c r="E65" s="32"/>
      <c r="F65" s="32"/>
      <c r="G65" s="32"/>
      <c r="H65" s="32"/>
      <c r="I65" s="32"/>
      <c r="J65" s="32"/>
      <c r="K65" s="32"/>
      <c r="L65" s="32"/>
      <c r="M65" s="32"/>
    </row>
    <row r="66" spans="2:13" x14ac:dyDescent="0.3">
      <c r="B66" s="32"/>
      <c r="C66" s="32"/>
      <c r="D66" s="32"/>
      <c r="E66" s="32"/>
      <c r="F66" s="32"/>
      <c r="G66" s="32"/>
      <c r="H66" s="32"/>
      <c r="I66" s="32"/>
      <c r="J66" s="32"/>
      <c r="K66" s="32"/>
      <c r="L66" s="32"/>
      <c r="M66" s="32"/>
    </row>
    <row r="67" spans="2:13" x14ac:dyDescent="0.3">
      <c r="B67" s="32"/>
      <c r="C67" s="32"/>
      <c r="D67" s="32"/>
      <c r="E67" s="32"/>
      <c r="F67" s="32"/>
      <c r="G67" s="32"/>
      <c r="H67" s="32"/>
      <c r="I67" s="32"/>
      <c r="J67" s="32"/>
      <c r="K67" s="32"/>
      <c r="L67" s="32"/>
      <c r="M67" s="32"/>
    </row>
    <row r="68" spans="2:13" x14ac:dyDescent="0.3">
      <c r="B68" s="32"/>
      <c r="C68" s="32"/>
      <c r="D68" s="32"/>
      <c r="E68" s="32"/>
      <c r="F68" s="32"/>
      <c r="G68" s="32"/>
      <c r="H68" s="32"/>
      <c r="I68" s="32"/>
      <c r="J68" s="32"/>
      <c r="K68" s="32"/>
      <c r="L68" s="32"/>
      <c r="M68" s="32"/>
    </row>
    <row r="69" spans="2:13" x14ac:dyDescent="0.3">
      <c r="B69" s="32"/>
      <c r="C69" s="32"/>
      <c r="D69" s="32"/>
      <c r="E69" s="32"/>
      <c r="F69" s="32"/>
      <c r="G69" s="32"/>
      <c r="H69" s="32"/>
      <c r="I69" s="32"/>
      <c r="J69" s="32"/>
      <c r="K69" s="32"/>
      <c r="L69" s="32"/>
      <c r="M69" s="32"/>
    </row>
    <row r="70" spans="2:13" x14ac:dyDescent="0.3">
      <c r="B70" s="32"/>
      <c r="C70" s="32"/>
      <c r="D70" s="32"/>
      <c r="E70" s="32"/>
      <c r="F70" s="32"/>
      <c r="G70" s="32"/>
      <c r="H70" s="32"/>
      <c r="I70" s="32"/>
      <c r="J70" s="32"/>
      <c r="K70" s="32"/>
      <c r="L70" s="32"/>
      <c r="M70" s="32"/>
    </row>
    <row r="71" spans="2:13" x14ac:dyDescent="0.3">
      <c r="B71" s="32"/>
      <c r="C71" s="32"/>
      <c r="D71" s="32"/>
      <c r="E71" s="32"/>
      <c r="F71" s="32"/>
      <c r="G71" s="32"/>
      <c r="H71" s="32"/>
      <c r="I71" s="32"/>
      <c r="J71" s="32"/>
      <c r="K71" s="32"/>
      <c r="L71" s="32"/>
      <c r="M71" s="32"/>
    </row>
    <row r="72" spans="2:13" x14ac:dyDescent="0.3">
      <c r="B72" s="32"/>
      <c r="C72" s="32"/>
      <c r="D72" s="32"/>
      <c r="E72" s="32"/>
      <c r="F72" s="32"/>
      <c r="G72" s="32"/>
      <c r="H72" s="32"/>
      <c r="I72" s="32"/>
      <c r="J72" s="32"/>
      <c r="K72" s="32"/>
      <c r="L72" s="32"/>
      <c r="M72" s="32"/>
    </row>
    <row r="73" spans="2:13" x14ac:dyDescent="0.3">
      <c r="B73" s="32"/>
      <c r="C73" s="32"/>
      <c r="D73" s="32"/>
      <c r="E73" s="32"/>
      <c r="F73" s="32"/>
      <c r="G73" s="32"/>
      <c r="H73" s="32"/>
      <c r="I73" s="32"/>
      <c r="J73" s="32"/>
      <c r="K73" s="32"/>
      <c r="L73" s="32"/>
      <c r="M73" s="32"/>
    </row>
    <row r="74" spans="2:13" x14ac:dyDescent="0.3">
      <c r="B74" s="32"/>
      <c r="C74" s="32"/>
      <c r="D74" s="32"/>
      <c r="E74" s="32"/>
      <c r="F74" s="32"/>
      <c r="G74" s="32"/>
      <c r="H74" s="32"/>
      <c r="I74" s="32"/>
      <c r="J74" s="32"/>
      <c r="K74" s="32"/>
      <c r="L74" s="32"/>
      <c r="M74" s="32"/>
    </row>
    <row r="75" spans="2:13" x14ac:dyDescent="0.3">
      <c r="B75" s="32"/>
      <c r="C75" s="32"/>
      <c r="D75" s="32"/>
      <c r="E75" s="32"/>
      <c r="F75" s="32"/>
      <c r="G75" s="32"/>
      <c r="H75" s="32"/>
      <c r="I75" s="32"/>
      <c r="J75" s="32"/>
      <c r="K75" s="32"/>
      <c r="L75" s="32"/>
      <c r="M75" s="32"/>
    </row>
    <row r="76" spans="2:13" x14ac:dyDescent="0.3">
      <c r="B76" s="32"/>
      <c r="C76" s="32"/>
      <c r="D76" s="32"/>
      <c r="E76" s="32"/>
      <c r="F76" s="32"/>
      <c r="G76" s="32"/>
      <c r="H76" s="32"/>
      <c r="I76" s="32"/>
      <c r="J76" s="32"/>
      <c r="K76" s="32"/>
      <c r="L76" s="32"/>
      <c r="M76" s="32"/>
    </row>
    <row r="77" spans="2:13" x14ac:dyDescent="0.3">
      <c r="B77" s="32"/>
      <c r="C77" s="32"/>
      <c r="D77" s="32"/>
      <c r="E77" s="32"/>
      <c r="F77" s="32"/>
      <c r="G77" s="32"/>
      <c r="H77" s="32"/>
      <c r="I77" s="32"/>
      <c r="J77" s="32"/>
      <c r="K77" s="32"/>
      <c r="L77" s="32"/>
      <c r="M77" s="32"/>
    </row>
    <row r="78" spans="2:13" x14ac:dyDescent="0.3">
      <c r="B78" s="32"/>
      <c r="C78" s="32"/>
      <c r="D78" s="32"/>
      <c r="E78" s="32"/>
      <c r="F78" s="32"/>
      <c r="G78" s="32"/>
      <c r="H78" s="32"/>
      <c r="I78" s="32"/>
      <c r="J78" s="32"/>
      <c r="K78" s="32"/>
      <c r="L78" s="32"/>
      <c r="M78" s="32"/>
    </row>
    <row r="79" spans="2:13" x14ac:dyDescent="0.3">
      <c r="B79" s="32"/>
      <c r="C79" s="32"/>
      <c r="D79" s="32"/>
      <c r="E79" s="32"/>
      <c r="F79" s="32"/>
      <c r="G79" s="32"/>
      <c r="H79" s="32"/>
      <c r="I79" s="32"/>
      <c r="J79" s="32"/>
      <c r="K79" s="32"/>
      <c r="L79" s="32"/>
      <c r="M79" s="32"/>
    </row>
    <row r="80" spans="2:13" x14ac:dyDescent="0.3">
      <c r="B80" s="32"/>
      <c r="C80" s="32"/>
      <c r="D80" s="32"/>
      <c r="E80" s="32"/>
      <c r="F80" s="32"/>
      <c r="G80" s="32"/>
      <c r="H80" s="32"/>
      <c r="I80" s="32"/>
      <c r="J80" s="32"/>
      <c r="K80" s="32"/>
      <c r="L80" s="32"/>
      <c r="M80" s="32"/>
    </row>
    <row r="81" spans="2:13" x14ac:dyDescent="0.3">
      <c r="B81" s="32"/>
      <c r="C81" s="32"/>
      <c r="D81" s="32"/>
      <c r="E81" s="32"/>
      <c r="F81" s="32"/>
      <c r="G81" s="32"/>
      <c r="H81" s="32"/>
      <c r="I81" s="32"/>
      <c r="J81" s="32"/>
      <c r="K81" s="32"/>
      <c r="L81" s="32"/>
      <c r="M81" s="32"/>
    </row>
    <row r="82" spans="2:13" x14ac:dyDescent="0.3">
      <c r="B82" s="32"/>
      <c r="C82" s="32"/>
      <c r="D82" s="32"/>
      <c r="E82" s="32"/>
      <c r="F82" s="32"/>
      <c r="G82" s="32"/>
      <c r="H82" s="32"/>
      <c r="I82" s="32"/>
      <c r="J82" s="32"/>
      <c r="K82" s="32"/>
      <c r="L82" s="32"/>
      <c r="M82" s="32"/>
    </row>
    <row r="83" spans="2:13" x14ac:dyDescent="0.3">
      <c r="B83" s="32"/>
      <c r="C83" s="32"/>
      <c r="D83" s="32"/>
      <c r="E83" s="32"/>
      <c r="F83" s="32"/>
      <c r="G83" s="32"/>
      <c r="H83" s="32"/>
      <c r="I83" s="32"/>
      <c r="J83" s="32"/>
      <c r="K83" s="32"/>
      <c r="L83" s="32"/>
      <c r="M83" s="32"/>
    </row>
    <row r="84" spans="2:13" x14ac:dyDescent="0.3">
      <c r="B84" s="32"/>
      <c r="C84" s="32"/>
      <c r="D84" s="32"/>
      <c r="E84" s="32"/>
      <c r="F84" s="32"/>
      <c r="G84" s="32"/>
      <c r="H84" s="32"/>
      <c r="I84" s="32"/>
      <c r="J84" s="32"/>
      <c r="K84" s="32"/>
      <c r="L84" s="32"/>
      <c r="M84" s="32"/>
    </row>
    <row r="85" spans="2:13" x14ac:dyDescent="0.3">
      <c r="B85" s="32"/>
      <c r="C85" s="32"/>
      <c r="D85" s="32"/>
      <c r="E85" s="32"/>
      <c r="F85" s="32"/>
      <c r="G85" s="32"/>
      <c r="H85" s="32"/>
      <c r="I85" s="32"/>
      <c r="J85" s="32"/>
      <c r="K85" s="32"/>
      <c r="L85" s="32"/>
      <c r="M85" s="32"/>
    </row>
    <row r="86" spans="2:13" x14ac:dyDescent="0.3">
      <c r="B86" s="32"/>
      <c r="C86" s="32"/>
      <c r="D86" s="32"/>
      <c r="E86" s="32"/>
      <c r="F86" s="32"/>
      <c r="G86" s="32"/>
      <c r="H86" s="32"/>
      <c r="I86" s="32"/>
      <c r="J86" s="32"/>
      <c r="K86" s="32"/>
      <c r="L86" s="32"/>
      <c r="M86" s="32"/>
    </row>
    <row r="87" spans="2:13" x14ac:dyDescent="0.3">
      <c r="B87" s="32"/>
      <c r="C87" s="32"/>
      <c r="D87" s="32"/>
      <c r="E87" s="32"/>
      <c r="F87" s="32"/>
      <c r="G87" s="32"/>
      <c r="H87" s="32"/>
      <c r="I87" s="32"/>
      <c r="J87" s="32"/>
      <c r="K87" s="32"/>
      <c r="L87" s="32"/>
      <c r="M87" s="32"/>
    </row>
    <row r="88" spans="2:13" x14ac:dyDescent="0.3">
      <c r="B88" s="32"/>
      <c r="C88" s="32"/>
      <c r="D88" s="32"/>
      <c r="E88" s="32"/>
      <c r="F88" s="32"/>
      <c r="G88" s="32"/>
      <c r="H88" s="32"/>
      <c r="I88" s="32"/>
      <c r="J88" s="32"/>
      <c r="K88" s="32"/>
      <c r="L88" s="32"/>
      <c r="M88" s="32"/>
    </row>
    <row r="89" spans="2:13" x14ac:dyDescent="0.3">
      <c r="B89" s="32"/>
      <c r="C89" s="32"/>
      <c r="D89" s="32"/>
      <c r="E89" s="32"/>
      <c r="F89" s="32"/>
      <c r="G89" s="32"/>
      <c r="H89" s="32"/>
      <c r="I89" s="32"/>
      <c r="J89" s="32"/>
      <c r="K89" s="32"/>
      <c r="L89" s="32"/>
      <c r="M89" s="32"/>
    </row>
    <row r="90" spans="2:13" x14ac:dyDescent="0.3">
      <c r="B90" s="32"/>
      <c r="C90" s="32"/>
      <c r="D90" s="32"/>
      <c r="E90" s="32"/>
      <c r="F90" s="32"/>
      <c r="G90" s="32"/>
      <c r="H90" s="32"/>
      <c r="I90" s="32"/>
      <c r="J90" s="32"/>
      <c r="K90" s="32"/>
      <c r="L90" s="32"/>
      <c r="M90" s="32"/>
    </row>
    <row r="91" spans="2:13" x14ac:dyDescent="0.3">
      <c r="B91" s="32"/>
      <c r="C91" s="32"/>
      <c r="D91" s="32"/>
      <c r="E91" s="32"/>
      <c r="F91" s="32"/>
      <c r="G91" s="32"/>
      <c r="H91" s="32"/>
      <c r="I91" s="32"/>
      <c r="J91" s="32"/>
      <c r="K91" s="32"/>
      <c r="L91" s="32"/>
      <c r="M91" s="32"/>
    </row>
    <row r="92" spans="2:13" x14ac:dyDescent="0.3">
      <c r="B92" s="32"/>
      <c r="C92" s="32"/>
      <c r="D92" s="32"/>
      <c r="E92" s="32"/>
      <c r="F92" s="32"/>
      <c r="G92" s="32"/>
      <c r="H92" s="32"/>
      <c r="I92" s="32"/>
      <c r="J92" s="32"/>
      <c r="K92" s="32"/>
      <c r="L92" s="32"/>
      <c r="M92" s="32"/>
    </row>
    <row r="93" spans="2:13" x14ac:dyDescent="0.3">
      <c r="B93" s="32"/>
      <c r="C93" s="32"/>
      <c r="D93" s="32"/>
      <c r="E93" s="32"/>
      <c r="F93" s="32"/>
      <c r="G93" s="32"/>
      <c r="H93" s="32"/>
      <c r="I93" s="32"/>
      <c r="J93" s="32"/>
      <c r="K93" s="32"/>
      <c r="L93" s="32"/>
      <c r="M93" s="32"/>
    </row>
    <row r="94" spans="2:13" x14ac:dyDescent="0.3">
      <c r="B94" s="32"/>
      <c r="C94" s="32"/>
      <c r="D94" s="32"/>
      <c r="E94" s="32"/>
      <c r="F94" s="32"/>
      <c r="G94" s="32"/>
      <c r="H94" s="32"/>
      <c r="I94" s="32"/>
      <c r="J94" s="32"/>
      <c r="K94" s="32"/>
      <c r="L94" s="32"/>
      <c r="M94" s="32"/>
    </row>
    <row r="95" spans="2:13" x14ac:dyDescent="0.3">
      <c r="B95" s="32"/>
      <c r="C95" s="32"/>
      <c r="D95" s="32"/>
      <c r="E95" s="32"/>
      <c r="F95" s="32"/>
      <c r="G95" s="32"/>
      <c r="H95" s="32"/>
      <c r="I95" s="32"/>
      <c r="J95" s="32"/>
      <c r="K95" s="32"/>
      <c r="L95" s="32"/>
      <c r="M95" s="32"/>
    </row>
    <row r="96" spans="2:13" x14ac:dyDescent="0.3">
      <c r="B96" s="32"/>
      <c r="C96" s="32"/>
      <c r="D96" s="32"/>
      <c r="E96" s="32"/>
      <c r="F96" s="32"/>
      <c r="G96" s="32"/>
      <c r="H96" s="32"/>
      <c r="I96" s="32"/>
      <c r="J96" s="32"/>
      <c r="K96" s="32"/>
      <c r="L96" s="32"/>
      <c r="M96" s="32"/>
    </row>
    <row r="97" spans="2:13" x14ac:dyDescent="0.3">
      <c r="B97" s="32"/>
      <c r="C97" s="32"/>
      <c r="D97" s="32"/>
      <c r="E97" s="32"/>
      <c r="F97" s="32"/>
      <c r="G97" s="32"/>
      <c r="H97" s="32"/>
      <c r="I97" s="32"/>
      <c r="J97" s="32"/>
      <c r="K97" s="32"/>
      <c r="L97" s="32"/>
      <c r="M97" s="32"/>
    </row>
    <row r="98" spans="2:13" x14ac:dyDescent="0.3">
      <c r="B98" s="32"/>
      <c r="C98" s="32"/>
      <c r="D98" s="32"/>
      <c r="E98" s="32"/>
      <c r="F98" s="32"/>
      <c r="G98" s="32"/>
      <c r="H98" s="32"/>
      <c r="I98" s="32"/>
      <c r="J98" s="32"/>
      <c r="K98" s="32"/>
      <c r="L98" s="32"/>
      <c r="M98" s="32"/>
    </row>
    <row r="99" spans="2:13" x14ac:dyDescent="0.3">
      <c r="B99" s="32"/>
      <c r="C99" s="32"/>
      <c r="D99" s="32"/>
      <c r="E99" s="32"/>
      <c r="F99" s="32"/>
      <c r="G99" s="32"/>
      <c r="H99" s="32"/>
      <c r="I99" s="32"/>
      <c r="J99" s="32"/>
      <c r="K99" s="32"/>
      <c r="L99" s="32"/>
      <c r="M99" s="32"/>
    </row>
    <row r="100" spans="2:13" x14ac:dyDescent="0.3">
      <c r="B100" s="32"/>
      <c r="C100" s="32"/>
      <c r="D100" s="32"/>
      <c r="E100" s="32"/>
      <c r="F100" s="32"/>
      <c r="G100" s="32"/>
      <c r="H100" s="32"/>
      <c r="I100" s="32"/>
      <c r="J100" s="32"/>
      <c r="K100" s="32"/>
      <c r="L100" s="32"/>
      <c r="M100" s="32"/>
    </row>
    <row r="101" spans="2:13" x14ac:dyDescent="0.3">
      <c r="B101" s="32"/>
      <c r="C101" s="32"/>
      <c r="D101" s="32"/>
      <c r="E101" s="32"/>
      <c r="F101" s="32"/>
      <c r="G101" s="32"/>
      <c r="H101" s="32"/>
      <c r="I101" s="32"/>
      <c r="J101" s="32"/>
      <c r="K101" s="32"/>
      <c r="L101" s="32"/>
      <c r="M101" s="32"/>
    </row>
    <row r="102" spans="2:13" x14ac:dyDescent="0.3">
      <c r="B102" s="32"/>
      <c r="C102" s="32"/>
      <c r="D102" s="32"/>
      <c r="E102" s="32"/>
      <c r="F102" s="32"/>
      <c r="G102" s="32"/>
      <c r="H102" s="32"/>
      <c r="I102" s="32"/>
      <c r="J102" s="32"/>
      <c r="K102" s="32"/>
      <c r="L102" s="32"/>
      <c r="M102" s="32"/>
    </row>
    <row r="103" spans="2:13" x14ac:dyDescent="0.3">
      <c r="B103" s="32"/>
      <c r="C103" s="32"/>
      <c r="D103" s="32"/>
      <c r="E103" s="32"/>
      <c r="F103" s="32"/>
      <c r="G103" s="32"/>
      <c r="H103" s="32"/>
      <c r="I103" s="32"/>
      <c r="J103" s="32"/>
      <c r="K103" s="32"/>
      <c r="L103" s="32"/>
      <c r="M103" s="32"/>
    </row>
    <row r="104" spans="2:13" x14ac:dyDescent="0.3">
      <c r="B104" s="32"/>
      <c r="C104" s="32"/>
      <c r="D104" s="32"/>
      <c r="E104" s="32"/>
      <c r="F104" s="32"/>
      <c r="G104" s="32"/>
      <c r="H104" s="32"/>
      <c r="I104" s="32"/>
      <c r="J104" s="32"/>
      <c r="K104" s="32"/>
      <c r="L104" s="32"/>
      <c r="M104" s="32"/>
    </row>
    <row r="105" spans="2:13" x14ac:dyDescent="0.3">
      <c r="B105" s="32"/>
      <c r="C105" s="32"/>
      <c r="D105" s="32"/>
      <c r="E105" s="32"/>
      <c r="F105" s="32"/>
      <c r="G105" s="32"/>
      <c r="H105" s="32"/>
      <c r="I105" s="32"/>
      <c r="J105" s="32"/>
      <c r="K105" s="32"/>
      <c r="L105" s="32"/>
      <c r="M105" s="32"/>
    </row>
    <row r="106" spans="2:13" x14ac:dyDescent="0.3">
      <c r="B106" s="32"/>
      <c r="C106" s="32"/>
      <c r="D106" s="32"/>
      <c r="E106" s="32"/>
      <c r="F106" s="32"/>
      <c r="G106" s="32"/>
      <c r="H106" s="32"/>
      <c r="I106" s="32"/>
      <c r="J106" s="32"/>
      <c r="K106" s="32"/>
      <c r="L106" s="32"/>
      <c r="M106" s="32"/>
    </row>
    <row r="107" spans="2:13" x14ac:dyDescent="0.3">
      <c r="B107" s="32"/>
      <c r="C107" s="32"/>
      <c r="D107" s="32"/>
      <c r="E107" s="32"/>
      <c r="F107" s="32"/>
      <c r="G107" s="32"/>
      <c r="H107" s="32"/>
      <c r="I107" s="32"/>
      <c r="J107" s="32"/>
      <c r="K107" s="32"/>
      <c r="L107" s="32"/>
      <c r="M107" s="32"/>
    </row>
    <row r="108" spans="2:13" x14ac:dyDescent="0.3">
      <c r="B108" s="32"/>
      <c r="C108" s="32"/>
      <c r="D108" s="32"/>
      <c r="E108" s="32"/>
      <c r="F108" s="32"/>
      <c r="G108" s="32"/>
      <c r="H108" s="32"/>
      <c r="I108" s="32"/>
      <c r="J108" s="32"/>
      <c r="K108" s="32"/>
      <c r="L108" s="32"/>
      <c r="M108" s="32"/>
    </row>
    <row r="109" spans="2:13" x14ac:dyDescent="0.3">
      <c r="B109" s="32"/>
      <c r="C109" s="32"/>
      <c r="D109" s="32"/>
      <c r="E109" s="32"/>
      <c r="F109" s="32"/>
      <c r="G109" s="32"/>
      <c r="H109" s="32"/>
      <c r="I109" s="32"/>
      <c r="J109" s="32"/>
      <c r="K109" s="32"/>
      <c r="L109" s="32"/>
      <c r="M109" s="32"/>
    </row>
    <row r="110" spans="2:13" x14ac:dyDescent="0.3">
      <c r="B110" s="32"/>
      <c r="C110" s="32"/>
      <c r="D110" s="32"/>
      <c r="E110" s="32"/>
      <c r="F110" s="32"/>
      <c r="G110" s="32"/>
      <c r="H110" s="32"/>
      <c r="I110" s="32"/>
      <c r="J110" s="32"/>
      <c r="K110" s="32"/>
      <c r="L110" s="32"/>
      <c r="M110" s="32"/>
    </row>
    <row r="111" spans="2:13" x14ac:dyDescent="0.3">
      <c r="B111" s="32"/>
      <c r="C111" s="32"/>
      <c r="D111" s="32"/>
      <c r="E111" s="32"/>
      <c r="F111" s="32"/>
      <c r="G111" s="32"/>
      <c r="H111" s="32"/>
      <c r="I111" s="32"/>
      <c r="J111" s="32"/>
      <c r="K111" s="32"/>
      <c r="L111" s="32"/>
      <c r="M111" s="32"/>
    </row>
    <row r="112" spans="2:13" x14ac:dyDescent="0.3">
      <c r="B112" s="32"/>
      <c r="C112" s="32"/>
      <c r="D112" s="32"/>
      <c r="E112" s="32"/>
      <c r="F112" s="32"/>
      <c r="G112" s="32"/>
      <c r="H112" s="32"/>
      <c r="I112" s="32"/>
      <c r="J112" s="32"/>
      <c r="K112" s="32"/>
      <c r="L112" s="32"/>
      <c r="M112" s="32"/>
    </row>
    <row r="113" spans="2:13" x14ac:dyDescent="0.3">
      <c r="B113" s="32"/>
      <c r="C113" s="32"/>
      <c r="D113" s="32"/>
      <c r="E113" s="32"/>
      <c r="F113" s="32"/>
      <c r="G113" s="32"/>
      <c r="H113" s="32"/>
      <c r="I113" s="32"/>
      <c r="J113" s="32"/>
      <c r="K113" s="32"/>
      <c r="L113" s="32"/>
      <c r="M113" s="32"/>
    </row>
    <row r="114" spans="2:13" x14ac:dyDescent="0.3">
      <c r="B114" s="32"/>
      <c r="C114" s="32"/>
      <c r="D114" s="32"/>
      <c r="E114" s="32"/>
      <c r="F114" s="32"/>
      <c r="G114" s="32"/>
      <c r="H114" s="32"/>
      <c r="I114" s="32"/>
      <c r="J114" s="32"/>
      <c r="K114" s="32"/>
      <c r="L114" s="32"/>
      <c r="M114" s="32"/>
    </row>
    <row r="115" spans="2:13" x14ac:dyDescent="0.3">
      <c r="B115" s="32"/>
      <c r="C115" s="32"/>
      <c r="D115" s="32"/>
      <c r="E115" s="32"/>
      <c r="F115" s="32"/>
      <c r="G115" s="32"/>
      <c r="H115" s="32"/>
      <c r="I115" s="32"/>
      <c r="J115" s="32"/>
      <c r="K115" s="32"/>
      <c r="L115" s="32"/>
      <c r="M115" s="32"/>
    </row>
    <row r="116" spans="2:13" x14ac:dyDescent="0.3">
      <c r="B116" s="32"/>
      <c r="C116" s="32"/>
      <c r="D116" s="32"/>
      <c r="E116" s="32"/>
      <c r="F116" s="32"/>
      <c r="G116" s="32"/>
      <c r="H116" s="32"/>
      <c r="I116" s="32"/>
      <c r="J116" s="32"/>
      <c r="K116" s="32"/>
      <c r="L116" s="32"/>
      <c r="M116" s="32"/>
    </row>
    <row r="117" spans="2:13" x14ac:dyDescent="0.3">
      <c r="B117" s="32"/>
      <c r="C117" s="32"/>
      <c r="D117" s="32"/>
      <c r="E117" s="32"/>
      <c r="F117" s="32"/>
      <c r="G117" s="32"/>
      <c r="H117" s="32"/>
      <c r="I117" s="32"/>
      <c r="J117" s="32"/>
      <c r="K117" s="32"/>
      <c r="L117" s="32"/>
      <c r="M117" s="32"/>
    </row>
    <row r="118" spans="2:13" x14ac:dyDescent="0.3">
      <c r="B118" s="32"/>
      <c r="C118" s="32"/>
      <c r="D118" s="32"/>
      <c r="E118" s="32"/>
      <c r="F118" s="32"/>
      <c r="G118" s="32"/>
      <c r="H118" s="32"/>
      <c r="I118" s="32"/>
      <c r="J118" s="32"/>
      <c r="K118" s="32"/>
      <c r="L118" s="32"/>
      <c r="M118" s="32"/>
    </row>
    <row r="119" spans="2:13" x14ac:dyDescent="0.3">
      <c r="B119" s="32"/>
      <c r="C119" s="32"/>
      <c r="D119" s="32"/>
      <c r="E119" s="32"/>
      <c r="F119" s="32"/>
      <c r="G119" s="32"/>
      <c r="H119" s="32"/>
      <c r="I119" s="32"/>
      <c r="J119" s="32"/>
      <c r="K119" s="32"/>
      <c r="L119" s="32"/>
      <c r="M119" s="32"/>
    </row>
    <row r="120" spans="2:13" x14ac:dyDescent="0.3">
      <c r="B120" s="32"/>
      <c r="C120" s="32"/>
      <c r="D120" s="32"/>
      <c r="E120" s="32"/>
      <c r="F120" s="32"/>
      <c r="G120" s="32"/>
      <c r="H120" s="32"/>
      <c r="I120" s="32"/>
      <c r="J120" s="32"/>
      <c r="K120" s="32"/>
      <c r="L120" s="32"/>
      <c r="M120" s="32"/>
    </row>
    <row r="121" spans="2:13" x14ac:dyDescent="0.3">
      <c r="B121" s="32"/>
      <c r="C121" s="32"/>
      <c r="D121" s="32"/>
      <c r="E121" s="32"/>
      <c r="F121" s="32"/>
      <c r="G121" s="32"/>
      <c r="H121" s="32"/>
      <c r="I121" s="32"/>
      <c r="J121" s="32"/>
      <c r="K121" s="32"/>
      <c r="L121" s="32"/>
      <c r="M121" s="32"/>
    </row>
  </sheetData>
  <sheetProtection algorithmName="SHA-512" hashValue="4gSE5QDn5HNr5xIyNmYX6a37uqeCH1wj/SaFfKiHv2T3ImEdWiDwn7ryODKUAipWkhPWQiwvX+dF8fV64aB0bA==" saltValue="TH8cprnf95o8BuoG3kjI0A==" spinCount="100000" sheet="1" objects="1" scenarios="1" selectLockedCells="1" selectUnlockedCells="1"/>
  <mergeCells count="6">
    <mergeCell ref="B36:M36"/>
    <mergeCell ref="B3:N5"/>
    <mergeCell ref="B7:M7"/>
    <mergeCell ref="B8:M8"/>
    <mergeCell ref="B34:M34"/>
    <mergeCell ref="B35:M3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6F777-2B0D-4663-A00F-47E6974DC022}">
  <dimension ref="A3:AE97"/>
  <sheetViews>
    <sheetView showRowColHeaders="0" zoomScaleNormal="100" workbookViewId="0">
      <selection activeCell="B6" sqref="B6:M6"/>
    </sheetView>
  </sheetViews>
  <sheetFormatPr defaultColWidth="9.109375" defaultRowHeight="14.4" x14ac:dyDescent="0.3"/>
  <cols>
    <col min="1" max="13" width="9.109375" style="141"/>
    <col min="14" max="14" width="1.6640625" style="141" customWidth="1"/>
    <col min="15" max="24" width="9.109375" style="141"/>
    <col min="25" max="25" width="12" style="141" customWidth="1"/>
    <col min="26" max="26" width="9.109375" style="141" hidden="1" customWidth="1"/>
    <col min="27" max="27" width="2.88671875" style="141" hidden="1" customWidth="1"/>
    <col min="28" max="29" width="9.109375" style="141" hidden="1" customWidth="1"/>
    <col min="30" max="30" width="8.5546875" style="141" hidden="1" customWidth="1"/>
    <col min="31" max="31" width="3.44140625" style="141" customWidth="1"/>
    <col min="32" max="16384" width="9.109375" style="141"/>
  </cols>
  <sheetData>
    <row r="3" spans="1:31" ht="15.75" customHeight="1" x14ac:dyDescent="0.3">
      <c r="A3" s="220"/>
      <c r="B3" s="253" t="s">
        <v>221</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row>
    <row r="4" spans="1:31" ht="15" customHeight="1" x14ac:dyDescent="0.3">
      <c r="A4" s="220"/>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row>
    <row r="5" spans="1:31" ht="8.25" customHeight="1" x14ac:dyDescent="0.3">
      <c r="B5" s="136"/>
      <c r="C5" s="1"/>
      <c r="D5" s="1"/>
      <c r="E5" s="1"/>
      <c r="F5" s="1"/>
      <c r="G5" s="1"/>
      <c r="H5" s="1"/>
      <c r="I5" s="1"/>
      <c r="J5" s="1"/>
      <c r="K5" s="1"/>
      <c r="L5" s="1"/>
      <c r="M5" s="1"/>
      <c r="N5" s="126"/>
    </row>
    <row r="6" spans="1:31" ht="26.25" customHeight="1" x14ac:dyDescent="0.3">
      <c r="B6" s="244" t="s">
        <v>272</v>
      </c>
      <c r="C6" s="245"/>
      <c r="D6" s="245"/>
      <c r="E6" s="245"/>
      <c r="F6" s="245"/>
      <c r="G6" s="245"/>
      <c r="H6" s="245"/>
      <c r="I6" s="245"/>
      <c r="J6" s="245"/>
      <c r="K6" s="245"/>
      <c r="L6" s="245"/>
      <c r="M6" s="245"/>
      <c r="N6" s="126"/>
    </row>
    <row r="7" spans="1:31" ht="28.5" customHeight="1" x14ac:dyDescent="0.3">
      <c r="B7" s="248" t="s">
        <v>249</v>
      </c>
      <c r="C7" s="249"/>
      <c r="D7" s="249"/>
      <c r="E7" s="249"/>
      <c r="F7" s="249"/>
      <c r="G7" s="249"/>
      <c r="H7" s="249"/>
      <c r="I7" s="249"/>
      <c r="J7" s="249"/>
      <c r="K7" s="249"/>
      <c r="L7" s="249"/>
      <c r="M7" s="249"/>
      <c r="N7" s="126"/>
    </row>
    <row r="8" spans="1:31" ht="30.75" customHeight="1" x14ac:dyDescent="0.3">
      <c r="B8" s="248" t="s">
        <v>250</v>
      </c>
      <c r="C8" s="249"/>
      <c r="D8" s="249"/>
      <c r="E8" s="249"/>
      <c r="F8" s="249"/>
      <c r="G8" s="249"/>
      <c r="H8" s="249"/>
      <c r="I8" s="249"/>
      <c r="J8" s="249"/>
      <c r="K8" s="249"/>
      <c r="L8" s="249"/>
      <c r="M8" s="249"/>
      <c r="N8" s="126"/>
    </row>
    <row r="9" spans="1:31" ht="60" customHeight="1" x14ac:dyDescent="0.3">
      <c r="B9" s="248" t="s">
        <v>251</v>
      </c>
      <c r="C9" s="249"/>
      <c r="D9" s="249"/>
      <c r="E9" s="249"/>
      <c r="F9" s="249"/>
      <c r="G9" s="249"/>
      <c r="H9" s="249"/>
      <c r="I9" s="249"/>
      <c r="J9" s="249"/>
      <c r="K9" s="249"/>
      <c r="L9" s="249"/>
      <c r="M9" s="249"/>
      <c r="N9" s="126"/>
    </row>
    <row r="10" spans="1:31" ht="34.5" customHeight="1" x14ac:dyDescent="0.3">
      <c r="B10" s="248" t="s">
        <v>252</v>
      </c>
      <c r="C10" s="249"/>
      <c r="D10" s="249"/>
      <c r="E10" s="249"/>
      <c r="F10" s="249"/>
      <c r="G10" s="249"/>
      <c r="H10" s="249"/>
      <c r="I10" s="249"/>
      <c r="J10" s="249"/>
      <c r="K10" s="249"/>
      <c r="L10" s="249"/>
      <c r="M10" s="249"/>
      <c r="N10" s="126"/>
    </row>
    <row r="11" spans="1:31" ht="75" customHeight="1" x14ac:dyDescent="0.3">
      <c r="B11" s="248" t="s">
        <v>248</v>
      </c>
      <c r="C11" s="249"/>
      <c r="D11" s="249"/>
      <c r="E11" s="249"/>
      <c r="F11" s="249"/>
      <c r="G11" s="249"/>
      <c r="H11" s="249"/>
      <c r="I11" s="249"/>
      <c r="J11" s="249"/>
      <c r="K11" s="249"/>
      <c r="L11" s="249"/>
      <c r="M11" s="249"/>
      <c r="N11" s="126"/>
    </row>
    <row r="12" spans="1:31" ht="78" customHeight="1" x14ac:dyDescent="0.3">
      <c r="B12" s="248" t="s">
        <v>253</v>
      </c>
      <c r="C12" s="250"/>
      <c r="D12" s="250"/>
      <c r="E12" s="250"/>
      <c r="F12" s="250"/>
      <c r="G12" s="250"/>
      <c r="H12" s="250"/>
      <c r="I12" s="250"/>
      <c r="J12" s="250"/>
      <c r="K12" s="250"/>
      <c r="L12" s="250"/>
      <c r="M12" s="250"/>
      <c r="N12" s="126"/>
    </row>
    <row r="13" spans="1:31" ht="33" customHeight="1" thickBot="1" x14ac:dyDescent="0.35">
      <c r="B13" s="251" t="s">
        <v>254</v>
      </c>
      <c r="C13" s="252"/>
      <c r="D13" s="252"/>
      <c r="E13" s="252"/>
      <c r="F13" s="252"/>
      <c r="G13" s="252"/>
      <c r="H13" s="252"/>
      <c r="I13" s="252"/>
      <c r="J13" s="252"/>
      <c r="K13" s="252"/>
      <c r="L13" s="252"/>
      <c r="M13" s="252"/>
      <c r="N13" s="140"/>
    </row>
    <row r="14" spans="1:31" ht="15" thickTop="1" x14ac:dyDescent="0.3">
      <c r="B14" s="32"/>
      <c r="C14" s="32"/>
      <c r="D14" s="32"/>
      <c r="E14" s="32"/>
      <c r="F14" s="32"/>
      <c r="G14" s="32"/>
      <c r="H14" s="32"/>
      <c r="I14" s="32"/>
      <c r="J14" s="32"/>
      <c r="K14" s="32"/>
      <c r="L14" s="32"/>
      <c r="M14" s="32"/>
    </row>
    <row r="15" spans="1:31" x14ac:dyDescent="0.3">
      <c r="B15" s="32"/>
      <c r="C15" s="32"/>
      <c r="D15" s="32"/>
      <c r="E15" s="32"/>
      <c r="F15" s="32"/>
      <c r="G15" s="32"/>
      <c r="H15" s="32"/>
      <c r="I15" s="32"/>
      <c r="J15" s="32"/>
      <c r="K15" s="42"/>
      <c r="L15" s="32"/>
      <c r="M15" s="32"/>
    </row>
    <row r="16" spans="1:31" x14ac:dyDescent="0.3">
      <c r="B16" s="32"/>
      <c r="C16" s="32"/>
      <c r="D16" s="32"/>
      <c r="E16" s="32"/>
      <c r="F16" s="32"/>
      <c r="G16" s="32"/>
      <c r="H16" s="32"/>
      <c r="I16" s="32"/>
      <c r="J16" s="32"/>
      <c r="K16" s="32"/>
      <c r="L16" s="32"/>
      <c r="M16" s="32"/>
    </row>
    <row r="17" spans="2:13" x14ac:dyDescent="0.3">
      <c r="B17" s="32"/>
      <c r="C17" s="32"/>
      <c r="D17" s="32"/>
      <c r="E17" s="32"/>
      <c r="F17" s="32"/>
      <c r="G17" s="32"/>
      <c r="H17" s="32"/>
      <c r="I17" s="32"/>
      <c r="J17" s="32"/>
      <c r="K17" s="32"/>
      <c r="L17" s="32"/>
      <c r="M17" s="32"/>
    </row>
    <row r="18" spans="2:13" x14ac:dyDescent="0.3">
      <c r="B18" s="32"/>
      <c r="C18" s="32"/>
      <c r="D18" s="32"/>
      <c r="E18" s="32"/>
      <c r="F18" s="32"/>
      <c r="G18" s="32"/>
      <c r="H18" s="32"/>
      <c r="I18" s="32"/>
      <c r="J18" s="32"/>
      <c r="K18" s="32"/>
      <c r="L18" s="32"/>
      <c r="M18" s="32"/>
    </row>
    <row r="19" spans="2:13" x14ac:dyDescent="0.3">
      <c r="B19" s="32"/>
      <c r="C19" s="32"/>
      <c r="D19" s="32"/>
      <c r="E19" s="32"/>
      <c r="F19" s="32"/>
      <c r="G19" s="32"/>
      <c r="H19" s="32"/>
      <c r="I19" s="32"/>
      <c r="J19" s="32"/>
      <c r="K19" s="32"/>
      <c r="L19" s="32"/>
      <c r="M19" s="32"/>
    </row>
    <row r="20" spans="2:13" x14ac:dyDescent="0.3">
      <c r="B20" s="32"/>
      <c r="C20" s="32"/>
      <c r="D20" s="32"/>
      <c r="E20" s="32"/>
      <c r="F20" s="32"/>
      <c r="G20" s="32"/>
      <c r="H20" s="32"/>
      <c r="I20" s="32"/>
      <c r="J20" s="32"/>
      <c r="K20" s="32"/>
      <c r="L20" s="32"/>
      <c r="M20" s="32"/>
    </row>
    <row r="21" spans="2:13" x14ac:dyDescent="0.3">
      <c r="B21" s="32"/>
      <c r="C21" s="32"/>
      <c r="D21" s="32"/>
      <c r="E21" s="32"/>
      <c r="F21" s="32"/>
      <c r="G21" s="32"/>
      <c r="H21" s="32"/>
      <c r="I21" s="32"/>
      <c r="J21" s="32"/>
      <c r="K21" s="32"/>
      <c r="L21" s="32"/>
      <c r="M21" s="32"/>
    </row>
    <row r="22" spans="2:13" x14ac:dyDescent="0.3">
      <c r="B22" s="32"/>
      <c r="C22" s="32"/>
      <c r="D22" s="32"/>
      <c r="E22" s="32"/>
      <c r="F22" s="32"/>
      <c r="G22" s="32"/>
      <c r="H22" s="32"/>
      <c r="I22" s="32"/>
      <c r="J22" s="32"/>
      <c r="K22" s="32"/>
      <c r="L22" s="32"/>
      <c r="M22" s="32"/>
    </row>
    <row r="23" spans="2:13" x14ac:dyDescent="0.3">
      <c r="B23" s="32"/>
      <c r="C23" s="32"/>
      <c r="D23" s="32"/>
      <c r="E23" s="32"/>
      <c r="F23" s="32"/>
      <c r="G23" s="32"/>
      <c r="H23" s="32"/>
      <c r="I23" s="32"/>
      <c r="J23" s="32"/>
      <c r="K23" s="32"/>
      <c r="L23" s="32"/>
      <c r="M23" s="32"/>
    </row>
    <row r="24" spans="2:13" x14ac:dyDescent="0.3">
      <c r="B24" s="32"/>
      <c r="C24" s="32"/>
      <c r="D24" s="32"/>
      <c r="E24" s="32"/>
      <c r="F24" s="32"/>
      <c r="G24" s="32"/>
      <c r="H24" s="32"/>
      <c r="I24" s="32"/>
      <c r="J24" s="32"/>
      <c r="K24" s="32"/>
      <c r="L24" s="32"/>
      <c r="M24" s="32"/>
    </row>
    <row r="25" spans="2:13" x14ac:dyDescent="0.3">
      <c r="B25" s="32"/>
      <c r="C25" s="32"/>
      <c r="D25" s="32"/>
      <c r="E25" s="32"/>
      <c r="F25" s="32"/>
      <c r="G25" s="32"/>
      <c r="H25" s="32"/>
      <c r="I25" s="32"/>
      <c r="J25" s="32"/>
      <c r="K25" s="32"/>
      <c r="L25" s="32"/>
      <c r="M25" s="32"/>
    </row>
    <row r="26" spans="2:13" x14ac:dyDescent="0.3">
      <c r="B26" s="32"/>
      <c r="C26" s="32"/>
      <c r="D26" s="32"/>
      <c r="E26" s="32"/>
      <c r="F26" s="32"/>
      <c r="G26" s="32"/>
      <c r="H26" s="32"/>
      <c r="I26" s="32"/>
      <c r="J26" s="32"/>
      <c r="K26" s="32"/>
      <c r="L26" s="32"/>
      <c r="M26" s="32"/>
    </row>
    <row r="27" spans="2:13" x14ac:dyDescent="0.3">
      <c r="B27" s="32"/>
      <c r="C27" s="32"/>
      <c r="D27" s="32"/>
      <c r="E27" s="32"/>
      <c r="F27" s="32"/>
      <c r="G27" s="32"/>
      <c r="H27" s="32"/>
      <c r="I27" s="32"/>
      <c r="J27" s="32"/>
      <c r="K27" s="32"/>
      <c r="L27" s="32"/>
      <c r="M27" s="32"/>
    </row>
    <row r="28" spans="2:13" x14ac:dyDescent="0.3">
      <c r="B28" s="32"/>
      <c r="C28" s="32"/>
      <c r="D28" s="32"/>
      <c r="E28" s="32"/>
      <c r="F28" s="32"/>
      <c r="G28" s="32"/>
      <c r="H28" s="32"/>
      <c r="I28" s="32"/>
      <c r="J28" s="32"/>
      <c r="K28" s="32"/>
      <c r="L28" s="32"/>
      <c r="M28" s="32"/>
    </row>
    <row r="29" spans="2:13" x14ac:dyDescent="0.3">
      <c r="B29" s="32"/>
      <c r="C29" s="32"/>
      <c r="D29" s="32"/>
      <c r="E29" s="32"/>
      <c r="F29" s="32"/>
      <c r="G29" s="32"/>
      <c r="H29" s="32"/>
      <c r="I29" s="32"/>
      <c r="J29" s="32"/>
      <c r="K29" s="32"/>
      <c r="L29" s="32"/>
      <c r="M29" s="32"/>
    </row>
    <row r="30" spans="2:13" x14ac:dyDescent="0.3">
      <c r="B30" s="32"/>
      <c r="C30" s="32"/>
      <c r="D30" s="32"/>
      <c r="E30" s="32"/>
      <c r="F30" s="32"/>
      <c r="G30" s="32"/>
      <c r="H30" s="32"/>
      <c r="I30" s="32"/>
      <c r="J30" s="32"/>
      <c r="K30" s="32"/>
      <c r="L30" s="32"/>
      <c r="M30" s="32"/>
    </row>
    <row r="31" spans="2:13" x14ac:dyDescent="0.3">
      <c r="B31" s="32"/>
      <c r="C31" s="32"/>
      <c r="D31" s="32"/>
      <c r="E31" s="32"/>
      <c r="F31" s="32"/>
      <c r="G31" s="32"/>
      <c r="H31" s="32"/>
      <c r="I31" s="32"/>
      <c r="J31" s="32"/>
      <c r="K31" s="32"/>
      <c r="L31" s="32"/>
      <c r="M31" s="32"/>
    </row>
    <row r="32" spans="2:13" x14ac:dyDescent="0.3">
      <c r="B32" s="32"/>
      <c r="C32" s="32"/>
      <c r="D32" s="32"/>
      <c r="E32" s="32"/>
      <c r="F32" s="32"/>
      <c r="G32" s="32"/>
      <c r="H32" s="32"/>
      <c r="I32" s="32"/>
      <c r="J32" s="32"/>
      <c r="K32" s="32"/>
      <c r="L32" s="32"/>
      <c r="M32" s="32"/>
    </row>
    <row r="33" spans="2:13" x14ac:dyDescent="0.3">
      <c r="B33" s="32"/>
      <c r="C33" s="32"/>
      <c r="D33" s="32"/>
      <c r="E33" s="32"/>
      <c r="F33" s="32"/>
      <c r="G33" s="32"/>
      <c r="H33" s="32"/>
      <c r="I33" s="32"/>
      <c r="J33" s="32"/>
      <c r="K33" s="32"/>
      <c r="L33" s="32"/>
      <c r="M33" s="32"/>
    </row>
    <row r="34" spans="2:13" x14ac:dyDescent="0.3">
      <c r="B34" s="32"/>
      <c r="C34" s="32"/>
      <c r="D34" s="32"/>
      <c r="E34" s="32"/>
      <c r="F34" s="32"/>
      <c r="G34" s="32"/>
      <c r="H34" s="32"/>
      <c r="I34" s="32"/>
      <c r="J34" s="32"/>
      <c r="K34" s="32"/>
      <c r="L34" s="32"/>
      <c r="M34" s="32"/>
    </row>
    <row r="35" spans="2:13" x14ac:dyDescent="0.3">
      <c r="B35" s="32"/>
      <c r="C35" s="32"/>
      <c r="D35" s="32"/>
      <c r="E35" s="32"/>
      <c r="F35" s="32"/>
      <c r="G35" s="32"/>
      <c r="H35" s="32"/>
      <c r="I35" s="32"/>
      <c r="J35" s="32"/>
      <c r="K35" s="32"/>
      <c r="L35" s="32"/>
      <c r="M35" s="32"/>
    </row>
    <row r="36" spans="2:13" x14ac:dyDescent="0.3">
      <c r="B36" s="32"/>
      <c r="C36" s="32"/>
      <c r="D36" s="32"/>
      <c r="E36" s="32"/>
      <c r="F36" s="32"/>
      <c r="G36" s="32"/>
      <c r="H36" s="32"/>
      <c r="I36" s="32"/>
      <c r="J36" s="32"/>
      <c r="K36" s="32"/>
      <c r="L36" s="32"/>
      <c r="M36" s="32"/>
    </row>
    <row r="37" spans="2:13" x14ac:dyDescent="0.3">
      <c r="B37" s="32"/>
      <c r="C37" s="32"/>
      <c r="D37" s="32"/>
      <c r="E37" s="32"/>
      <c r="F37" s="32"/>
      <c r="G37" s="32"/>
      <c r="H37" s="32"/>
      <c r="I37" s="32"/>
      <c r="J37" s="32"/>
      <c r="K37" s="32"/>
      <c r="L37" s="32"/>
      <c r="M37" s="32"/>
    </row>
    <row r="38" spans="2:13" x14ac:dyDescent="0.3">
      <c r="B38" s="32"/>
      <c r="C38" s="32"/>
      <c r="D38" s="32"/>
      <c r="E38" s="32"/>
      <c r="F38" s="32"/>
      <c r="G38" s="32"/>
      <c r="H38" s="32"/>
      <c r="I38" s="32"/>
      <c r="J38" s="32"/>
      <c r="K38" s="32"/>
      <c r="L38" s="32"/>
      <c r="M38" s="32"/>
    </row>
    <row r="39" spans="2:13" x14ac:dyDescent="0.3">
      <c r="B39" s="32"/>
      <c r="C39" s="32"/>
      <c r="D39" s="32"/>
      <c r="E39" s="32"/>
      <c r="F39" s="32"/>
      <c r="G39" s="32"/>
      <c r="H39" s="32"/>
      <c r="I39" s="32"/>
      <c r="J39" s="32"/>
      <c r="K39" s="32"/>
      <c r="L39" s="32"/>
      <c r="M39" s="32"/>
    </row>
    <row r="40" spans="2:13" x14ac:dyDescent="0.3">
      <c r="B40" s="32"/>
      <c r="C40" s="32"/>
      <c r="D40" s="32"/>
      <c r="E40" s="32"/>
      <c r="F40" s="32"/>
      <c r="G40" s="32"/>
      <c r="H40" s="32"/>
      <c r="I40" s="32"/>
      <c r="J40" s="32"/>
      <c r="K40" s="32"/>
      <c r="L40" s="32"/>
      <c r="M40" s="32"/>
    </row>
    <row r="41" spans="2:13" x14ac:dyDescent="0.3">
      <c r="B41" s="32"/>
      <c r="C41" s="32"/>
      <c r="D41" s="32"/>
      <c r="E41" s="32"/>
      <c r="F41" s="32"/>
      <c r="G41" s="32"/>
      <c r="H41" s="32"/>
      <c r="I41" s="32"/>
      <c r="J41" s="32"/>
      <c r="K41" s="32"/>
      <c r="L41" s="32"/>
      <c r="M41" s="32"/>
    </row>
    <row r="42" spans="2:13" x14ac:dyDescent="0.3">
      <c r="B42" s="32"/>
      <c r="C42" s="32"/>
      <c r="D42" s="32"/>
      <c r="E42" s="32"/>
      <c r="F42" s="32"/>
      <c r="G42" s="32"/>
      <c r="H42" s="32"/>
      <c r="I42" s="32"/>
      <c r="J42" s="32"/>
      <c r="K42" s="32"/>
      <c r="L42" s="32"/>
      <c r="M42" s="32"/>
    </row>
    <row r="43" spans="2:13" x14ac:dyDescent="0.3">
      <c r="B43" s="32"/>
      <c r="C43" s="32"/>
      <c r="D43" s="32"/>
      <c r="E43" s="32"/>
      <c r="F43" s="32"/>
      <c r="G43" s="32"/>
      <c r="H43" s="32"/>
      <c r="I43" s="32"/>
      <c r="J43" s="32"/>
      <c r="K43" s="32"/>
      <c r="L43" s="32"/>
      <c r="M43" s="32"/>
    </row>
    <row r="44" spans="2:13" x14ac:dyDescent="0.3">
      <c r="B44" s="32"/>
      <c r="C44" s="32"/>
      <c r="D44" s="32"/>
      <c r="E44" s="32"/>
      <c r="F44" s="32"/>
      <c r="G44" s="32"/>
      <c r="H44" s="32"/>
      <c r="I44" s="32"/>
      <c r="J44" s="32"/>
      <c r="K44" s="32"/>
      <c r="L44" s="32"/>
      <c r="M44" s="32"/>
    </row>
    <row r="45" spans="2:13" x14ac:dyDescent="0.3">
      <c r="B45" s="32"/>
      <c r="C45" s="32"/>
      <c r="D45" s="32"/>
      <c r="E45" s="32"/>
      <c r="F45" s="32"/>
      <c r="G45" s="32"/>
      <c r="H45" s="32"/>
      <c r="I45" s="32"/>
      <c r="J45" s="32"/>
      <c r="K45" s="32"/>
      <c r="L45" s="32"/>
      <c r="M45" s="32"/>
    </row>
    <row r="46" spans="2:13" x14ac:dyDescent="0.3">
      <c r="B46" s="32"/>
      <c r="C46" s="32"/>
      <c r="D46" s="32"/>
      <c r="E46" s="32"/>
      <c r="F46" s="32"/>
      <c r="G46" s="32"/>
      <c r="H46" s="32"/>
      <c r="I46" s="32"/>
      <c r="J46" s="32"/>
      <c r="K46" s="32"/>
      <c r="L46" s="32"/>
      <c r="M46" s="32"/>
    </row>
    <row r="47" spans="2:13" x14ac:dyDescent="0.3">
      <c r="B47" s="32"/>
      <c r="C47" s="32"/>
      <c r="D47" s="32"/>
      <c r="E47" s="32"/>
      <c r="F47" s="32"/>
      <c r="G47" s="32"/>
      <c r="H47" s="32"/>
      <c r="I47" s="32"/>
      <c r="J47" s="32"/>
      <c r="K47" s="32"/>
      <c r="L47" s="32"/>
      <c r="M47" s="32"/>
    </row>
    <row r="48" spans="2:13" x14ac:dyDescent="0.3">
      <c r="B48" s="32"/>
      <c r="C48" s="32"/>
      <c r="D48" s="32"/>
      <c r="E48" s="32"/>
      <c r="F48" s="32"/>
      <c r="G48" s="32"/>
      <c r="H48" s="32"/>
      <c r="I48" s="32"/>
      <c r="J48" s="32"/>
      <c r="K48" s="32"/>
      <c r="L48" s="32"/>
      <c r="M48" s="32"/>
    </row>
    <row r="49" spans="2:13" x14ac:dyDescent="0.3">
      <c r="B49" s="32"/>
      <c r="C49" s="32"/>
      <c r="D49" s="32"/>
      <c r="E49" s="32"/>
      <c r="F49" s="32"/>
      <c r="G49" s="32"/>
      <c r="H49" s="32"/>
      <c r="I49" s="32"/>
      <c r="J49" s="32"/>
      <c r="K49" s="32"/>
      <c r="L49" s="32"/>
      <c r="M49" s="32"/>
    </row>
    <row r="50" spans="2:13" x14ac:dyDescent="0.3">
      <c r="B50" s="32"/>
      <c r="C50" s="32"/>
      <c r="D50" s="32"/>
      <c r="E50" s="32"/>
      <c r="F50" s="32"/>
      <c r="G50" s="32"/>
      <c r="H50" s="32"/>
      <c r="I50" s="32"/>
      <c r="J50" s="32"/>
      <c r="K50" s="32"/>
      <c r="L50" s="32"/>
      <c r="M50" s="32"/>
    </row>
    <row r="51" spans="2:13" x14ac:dyDescent="0.3">
      <c r="B51" s="32"/>
      <c r="C51" s="32"/>
      <c r="D51" s="32"/>
      <c r="E51" s="32"/>
      <c r="F51" s="32"/>
      <c r="G51" s="32"/>
      <c r="H51" s="32"/>
      <c r="I51" s="32"/>
      <c r="J51" s="32"/>
      <c r="K51" s="32"/>
      <c r="L51" s="32"/>
      <c r="M51" s="32"/>
    </row>
    <row r="52" spans="2:13" x14ac:dyDescent="0.3">
      <c r="B52" s="32"/>
      <c r="C52" s="32"/>
      <c r="D52" s="32"/>
      <c r="E52" s="32"/>
      <c r="F52" s="32"/>
      <c r="G52" s="32"/>
      <c r="H52" s="32"/>
      <c r="I52" s="32"/>
      <c r="J52" s="32"/>
      <c r="K52" s="32"/>
      <c r="L52" s="32"/>
      <c r="M52" s="32"/>
    </row>
    <row r="53" spans="2:13" x14ac:dyDescent="0.3">
      <c r="B53" s="32"/>
      <c r="C53" s="32"/>
      <c r="D53" s="32"/>
      <c r="E53" s="32"/>
      <c r="F53" s="32"/>
      <c r="G53" s="32"/>
      <c r="H53" s="32"/>
      <c r="I53" s="32"/>
      <c r="J53" s="32"/>
      <c r="K53" s="32"/>
      <c r="L53" s="32"/>
      <c r="M53" s="32"/>
    </row>
    <row r="54" spans="2:13" x14ac:dyDescent="0.3">
      <c r="B54" s="32"/>
      <c r="C54" s="32"/>
      <c r="D54" s="32"/>
      <c r="E54" s="32"/>
      <c r="F54" s="32"/>
      <c r="G54" s="32"/>
      <c r="H54" s="32"/>
      <c r="I54" s="32"/>
      <c r="J54" s="32"/>
      <c r="K54" s="32"/>
      <c r="L54" s="32"/>
      <c r="M54" s="32"/>
    </row>
    <row r="55" spans="2:13" x14ac:dyDescent="0.3">
      <c r="B55" s="32"/>
      <c r="C55" s="32"/>
      <c r="D55" s="32"/>
      <c r="E55" s="32"/>
      <c r="F55" s="32"/>
      <c r="G55" s="32"/>
      <c r="H55" s="32"/>
      <c r="I55" s="32"/>
      <c r="J55" s="32"/>
      <c r="K55" s="32"/>
      <c r="L55" s="32"/>
      <c r="M55" s="32"/>
    </row>
    <row r="56" spans="2:13" x14ac:dyDescent="0.3">
      <c r="B56" s="32"/>
      <c r="C56" s="32"/>
      <c r="D56" s="32"/>
      <c r="E56" s="32"/>
      <c r="F56" s="32"/>
      <c r="G56" s="32"/>
      <c r="H56" s="32"/>
      <c r="I56" s="32"/>
      <c r="J56" s="32"/>
      <c r="K56" s="32"/>
      <c r="L56" s="32"/>
      <c r="M56" s="32"/>
    </row>
    <row r="57" spans="2:13" x14ac:dyDescent="0.3">
      <c r="B57" s="32"/>
      <c r="C57" s="32"/>
      <c r="D57" s="32"/>
      <c r="E57" s="32"/>
      <c r="F57" s="32"/>
      <c r="G57" s="32"/>
      <c r="H57" s="32"/>
      <c r="I57" s="32"/>
      <c r="J57" s="32"/>
      <c r="K57" s="32"/>
      <c r="L57" s="32"/>
      <c r="M57" s="32"/>
    </row>
    <row r="58" spans="2:13" x14ac:dyDescent="0.3">
      <c r="B58" s="32"/>
      <c r="C58" s="32"/>
      <c r="D58" s="32"/>
      <c r="E58" s="32"/>
      <c r="F58" s="32"/>
      <c r="G58" s="32"/>
      <c r="H58" s="32"/>
      <c r="I58" s="32"/>
      <c r="J58" s="32"/>
      <c r="K58" s="32"/>
      <c r="L58" s="32"/>
      <c r="M58" s="32"/>
    </row>
    <row r="59" spans="2:13" x14ac:dyDescent="0.3">
      <c r="B59" s="32"/>
      <c r="C59" s="32"/>
      <c r="D59" s="32"/>
      <c r="E59" s="32"/>
      <c r="F59" s="32"/>
      <c r="G59" s="32"/>
      <c r="H59" s="32"/>
      <c r="I59" s="32"/>
      <c r="J59" s="32"/>
      <c r="K59" s="32"/>
      <c r="L59" s="32"/>
      <c r="M59" s="32"/>
    </row>
    <row r="60" spans="2:13" x14ac:dyDescent="0.3">
      <c r="B60" s="32"/>
      <c r="C60" s="32"/>
      <c r="D60" s="32"/>
      <c r="E60" s="32"/>
      <c r="F60" s="32"/>
      <c r="G60" s="32"/>
      <c r="H60" s="32"/>
      <c r="I60" s="32"/>
      <c r="J60" s="32"/>
      <c r="K60" s="32"/>
      <c r="L60" s="32"/>
      <c r="M60" s="32"/>
    </row>
    <row r="61" spans="2:13" x14ac:dyDescent="0.3">
      <c r="B61" s="32"/>
      <c r="C61" s="32"/>
      <c r="D61" s="32"/>
      <c r="E61" s="32"/>
      <c r="F61" s="32"/>
      <c r="G61" s="32"/>
      <c r="H61" s="32"/>
      <c r="I61" s="32"/>
      <c r="J61" s="32"/>
      <c r="K61" s="32"/>
      <c r="L61" s="32"/>
      <c r="M61" s="32"/>
    </row>
    <row r="62" spans="2:13" x14ac:dyDescent="0.3">
      <c r="B62" s="32"/>
      <c r="C62" s="32"/>
      <c r="D62" s="32"/>
      <c r="E62" s="32"/>
      <c r="F62" s="32"/>
      <c r="G62" s="32"/>
      <c r="H62" s="32"/>
      <c r="I62" s="32"/>
      <c r="J62" s="32"/>
      <c r="K62" s="32"/>
      <c r="L62" s="32"/>
      <c r="M62" s="32"/>
    </row>
    <row r="63" spans="2:13" x14ac:dyDescent="0.3">
      <c r="B63" s="32"/>
      <c r="C63" s="32"/>
      <c r="D63" s="32"/>
      <c r="E63" s="32"/>
      <c r="F63" s="32"/>
      <c r="G63" s="32"/>
      <c r="H63" s="32"/>
      <c r="I63" s="32"/>
      <c r="J63" s="32"/>
      <c r="K63" s="32"/>
      <c r="L63" s="32"/>
      <c r="M63" s="32"/>
    </row>
    <row r="64" spans="2:13" x14ac:dyDescent="0.3">
      <c r="B64" s="32"/>
      <c r="C64" s="32"/>
      <c r="D64" s="32"/>
      <c r="E64" s="32"/>
      <c r="F64" s="32"/>
      <c r="G64" s="32"/>
      <c r="H64" s="32"/>
      <c r="I64" s="32"/>
      <c r="J64" s="32"/>
      <c r="K64" s="32"/>
      <c r="L64" s="32"/>
      <c r="M64" s="32"/>
    </row>
    <row r="65" spans="2:13" x14ac:dyDescent="0.3">
      <c r="B65" s="32"/>
      <c r="C65" s="32"/>
      <c r="D65" s="32"/>
      <c r="E65" s="32"/>
      <c r="F65" s="32"/>
      <c r="G65" s="32"/>
      <c r="H65" s="32"/>
      <c r="I65" s="32"/>
      <c r="J65" s="32"/>
      <c r="K65" s="32"/>
      <c r="L65" s="32"/>
      <c r="M65" s="32"/>
    </row>
    <row r="66" spans="2:13" x14ac:dyDescent="0.3">
      <c r="B66" s="32"/>
      <c r="C66" s="32"/>
      <c r="D66" s="32"/>
      <c r="E66" s="32"/>
      <c r="F66" s="32"/>
      <c r="G66" s="32"/>
      <c r="H66" s="32"/>
      <c r="I66" s="32"/>
      <c r="J66" s="32"/>
      <c r="K66" s="32"/>
      <c r="L66" s="32"/>
      <c r="M66" s="32"/>
    </row>
    <row r="67" spans="2:13" x14ac:dyDescent="0.3">
      <c r="B67" s="32"/>
      <c r="C67" s="32"/>
      <c r="D67" s="32"/>
      <c r="E67" s="32"/>
      <c r="F67" s="32"/>
      <c r="G67" s="32"/>
      <c r="H67" s="32"/>
      <c r="I67" s="32"/>
      <c r="J67" s="32"/>
      <c r="K67" s="32"/>
      <c r="L67" s="32"/>
      <c r="M67" s="32"/>
    </row>
    <row r="68" spans="2:13" x14ac:dyDescent="0.3">
      <c r="B68" s="32"/>
      <c r="C68" s="32"/>
      <c r="D68" s="32"/>
      <c r="E68" s="32"/>
      <c r="F68" s="32"/>
      <c r="G68" s="32"/>
      <c r="H68" s="32"/>
      <c r="I68" s="32"/>
      <c r="J68" s="32"/>
      <c r="K68" s="32"/>
      <c r="L68" s="32"/>
      <c r="M68" s="32"/>
    </row>
    <row r="69" spans="2:13" x14ac:dyDescent="0.3">
      <c r="B69" s="32"/>
      <c r="C69" s="32"/>
      <c r="D69" s="32"/>
      <c r="E69" s="32"/>
      <c r="F69" s="32"/>
      <c r="G69" s="32"/>
      <c r="H69" s="32"/>
      <c r="I69" s="32"/>
      <c r="J69" s="32"/>
      <c r="K69" s="32"/>
      <c r="L69" s="32"/>
      <c r="M69" s="32"/>
    </row>
    <row r="70" spans="2:13" x14ac:dyDescent="0.3">
      <c r="B70" s="32"/>
      <c r="C70" s="32"/>
      <c r="D70" s="32"/>
      <c r="E70" s="32"/>
      <c r="F70" s="32"/>
      <c r="G70" s="32"/>
      <c r="H70" s="32"/>
      <c r="I70" s="32"/>
      <c r="J70" s="32"/>
      <c r="K70" s="32"/>
      <c r="L70" s="32"/>
      <c r="M70" s="32"/>
    </row>
    <row r="71" spans="2:13" x14ac:dyDescent="0.3">
      <c r="B71" s="32"/>
      <c r="C71" s="32"/>
      <c r="D71" s="32"/>
      <c r="E71" s="32"/>
      <c r="F71" s="32"/>
      <c r="G71" s="32"/>
      <c r="H71" s="32"/>
      <c r="I71" s="32"/>
      <c r="J71" s="32"/>
      <c r="K71" s="32"/>
      <c r="L71" s="32"/>
      <c r="M71" s="32"/>
    </row>
    <row r="72" spans="2:13" x14ac:dyDescent="0.3">
      <c r="B72" s="32"/>
      <c r="C72" s="32"/>
      <c r="D72" s="32"/>
      <c r="E72" s="32"/>
      <c r="F72" s="32"/>
      <c r="G72" s="32"/>
      <c r="H72" s="32"/>
      <c r="I72" s="32"/>
      <c r="J72" s="32"/>
      <c r="K72" s="32"/>
      <c r="L72" s="32"/>
      <c r="M72" s="32"/>
    </row>
    <row r="73" spans="2:13" x14ac:dyDescent="0.3">
      <c r="B73" s="32"/>
      <c r="C73" s="32"/>
      <c r="D73" s="32"/>
      <c r="E73" s="32"/>
      <c r="F73" s="32"/>
      <c r="G73" s="32"/>
      <c r="H73" s="32"/>
      <c r="I73" s="32"/>
      <c r="J73" s="32"/>
      <c r="K73" s="32"/>
      <c r="L73" s="32"/>
      <c r="M73" s="32"/>
    </row>
    <row r="74" spans="2:13" x14ac:dyDescent="0.3">
      <c r="B74" s="32"/>
      <c r="C74" s="32"/>
      <c r="D74" s="32"/>
      <c r="E74" s="32"/>
      <c r="F74" s="32"/>
      <c r="G74" s="32"/>
      <c r="H74" s="32"/>
      <c r="I74" s="32"/>
      <c r="J74" s="32"/>
      <c r="K74" s="32"/>
      <c r="L74" s="32"/>
      <c r="M74" s="32"/>
    </row>
    <row r="75" spans="2:13" x14ac:dyDescent="0.3">
      <c r="B75" s="32"/>
      <c r="C75" s="32"/>
      <c r="D75" s="32"/>
      <c r="E75" s="32"/>
      <c r="F75" s="32"/>
      <c r="G75" s="32"/>
      <c r="H75" s="32"/>
      <c r="I75" s="32"/>
      <c r="J75" s="32"/>
      <c r="K75" s="32"/>
      <c r="L75" s="32"/>
      <c r="M75" s="32"/>
    </row>
    <row r="76" spans="2:13" x14ac:dyDescent="0.3">
      <c r="B76" s="32"/>
      <c r="C76" s="32"/>
      <c r="D76" s="32"/>
      <c r="E76" s="32"/>
      <c r="F76" s="32"/>
      <c r="G76" s="32"/>
      <c r="H76" s="32"/>
      <c r="I76" s="32"/>
      <c r="J76" s="32"/>
      <c r="K76" s="32"/>
      <c r="L76" s="32"/>
      <c r="M76" s="32"/>
    </row>
    <row r="77" spans="2:13" x14ac:dyDescent="0.3">
      <c r="B77" s="32"/>
      <c r="C77" s="32"/>
      <c r="D77" s="32"/>
      <c r="E77" s="32"/>
      <c r="F77" s="32"/>
      <c r="G77" s="32"/>
      <c r="H77" s="32"/>
      <c r="I77" s="32"/>
      <c r="J77" s="32"/>
      <c r="K77" s="32"/>
      <c r="L77" s="32"/>
      <c r="M77" s="32"/>
    </row>
    <row r="78" spans="2:13" x14ac:dyDescent="0.3">
      <c r="B78" s="32"/>
      <c r="C78" s="32"/>
      <c r="D78" s="32"/>
      <c r="E78" s="32"/>
      <c r="F78" s="32"/>
      <c r="G78" s="32"/>
      <c r="H78" s="32"/>
      <c r="I78" s="32"/>
      <c r="J78" s="32"/>
      <c r="K78" s="32"/>
      <c r="L78" s="32"/>
      <c r="M78" s="32"/>
    </row>
    <row r="79" spans="2:13" x14ac:dyDescent="0.3">
      <c r="B79" s="32"/>
      <c r="C79" s="32"/>
      <c r="D79" s="32"/>
      <c r="E79" s="32"/>
      <c r="F79" s="32"/>
      <c r="G79" s="32"/>
      <c r="H79" s="32"/>
      <c r="I79" s="32"/>
      <c r="J79" s="32"/>
      <c r="K79" s="32"/>
      <c r="L79" s="32"/>
      <c r="M79" s="32"/>
    </row>
    <row r="80" spans="2:13" x14ac:dyDescent="0.3">
      <c r="B80" s="32"/>
      <c r="C80" s="32"/>
      <c r="D80" s="32"/>
      <c r="E80" s="32"/>
      <c r="F80" s="32"/>
      <c r="G80" s="32"/>
      <c r="H80" s="32"/>
      <c r="I80" s="32"/>
      <c r="J80" s="32"/>
      <c r="K80" s="32"/>
      <c r="L80" s="32"/>
      <c r="M80" s="32"/>
    </row>
    <row r="81" spans="2:13" x14ac:dyDescent="0.3">
      <c r="B81" s="32"/>
      <c r="C81" s="32"/>
      <c r="D81" s="32"/>
      <c r="E81" s="32"/>
      <c r="F81" s="32"/>
      <c r="G81" s="32"/>
      <c r="H81" s="32"/>
      <c r="I81" s="32"/>
      <c r="J81" s="32"/>
      <c r="K81" s="32"/>
      <c r="L81" s="32"/>
      <c r="M81" s="32"/>
    </row>
    <row r="82" spans="2:13" x14ac:dyDescent="0.3">
      <c r="B82" s="32"/>
      <c r="C82" s="32"/>
      <c r="D82" s="32"/>
      <c r="E82" s="32"/>
      <c r="F82" s="32"/>
      <c r="G82" s="32"/>
      <c r="H82" s="32"/>
      <c r="I82" s="32"/>
      <c r="J82" s="32"/>
      <c r="K82" s="32"/>
      <c r="L82" s="32"/>
      <c r="M82" s="32"/>
    </row>
    <row r="83" spans="2:13" x14ac:dyDescent="0.3">
      <c r="B83" s="32"/>
      <c r="C83" s="32"/>
      <c r="D83" s="32"/>
      <c r="E83" s="32"/>
      <c r="F83" s="32"/>
      <c r="G83" s="32"/>
      <c r="H83" s="32"/>
      <c r="I83" s="32"/>
      <c r="J83" s="32"/>
      <c r="K83" s="32"/>
      <c r="L83" s="32"/>
      <c r="M83" s="32"/>
    </row>
    <row r="84" spans="2:13" x14ac:dyDescent="0.3">
      <c r="B84" s="32"/>
      <c r="C84" s="32"/>
      <c r="D84" s="32"/>
      <c r="E84" s="32"/>
      <c r="F84" s="32"/>
      <c r="G84" s="32"/>
      <c r="H84" s="32"/>
      <c r="I84" s="32"/>
      <c r="J84" s="32"/>
      <c r="K84" s="32"/>
      <c r="L84" s="32"/>
      <c r="M84" s="32"/>
    </row>
    <row r="85" spans="2:13" x14ac:dyDescent="0.3">
      <c r="B85" s="32"/>
      <c r="C85" s="32"/>
      <c r="D85" s="32"/>
      <c r="E85" s="32"/>
      <c r="F85" s="32"/>
      <c r="G85" s="32"/>
      <c r="H85" s="32"/>
      <c r="I85" s="32"/>
      <c r="J85" s="32"/>
      <c r="K85" s="32"/>
      <c r="L85" s="32"/>
      <c r="M85" s="32"/>
    </row>
    <row r="86" spans="2:13" x14ac:dyDescent="0.3">
      <c r="B86" s="32"/>
      <c r="C86" s="32"/>
      <c r="D86" s="32"/>
      <c r="E86" s="32"/>
      <c r="F86" s="32"/>
      <c r="G86" s="32"/>
      <c r="H86" s="32"/>
      <c r="I86" s="32"/>
      <c r="J86" s="32"/>
      <c r="K86" s="32"/>
      <c r="L86" s="32"/>
      <c r="M86" s="32"/>
    </row>
    <row r="87" spans="2:13" x14ac:dyDescent="0.3">
      <c r="B87" s="32"/>
      <c r="C87" s="32"/>
      <c r="D87" s="32"/>
      <c r="E87" s="32"/>
      <c r="F87" s="32"/>
      <c r="G87" s="32"/>
      <c r="H87" s="32"/>
      <c r="I87" s="32"/>
      <c r="J87" s="32"/>
      <c r="K87" s="32"/>
      <c r="L87" s="32"/>
      <c r="M87" s="32"/>
    </row>
    <row r="88" spans="2:13" x14ac:dyDescent="0.3">
      <c r="B88" s="32"/>
      <c r="C88" s="32"/>
      <c r="D88" s="32"/>
      <c r="E88" s="32"/>
      <c r="F88" s="32"/>
      <c r="G88" s="32"/>
      <c r="H88" s="32"/>
      <c r="I88" s="32"/>
      <c r="J88" s="32"/>
      <c r="K88" s="32"/>
      <c r="L88" s="32"/>
      <c r="M88" s="32"/>
    </row>
    <row r="89" spans="2:13" x14ac:dyDescent="0.3">
      <c r="B89" s="32"/>
      <c r="C89" s="32"/>
      <c r="D89" s="32"/>
      <c r="E89" s="32"/>
      <c r="F89" s="32"/>
      <c r="G89" s="32"/>
      <c r="H89" s="32"/>
      <c r="I89" s="32"/>
      <c r="J89" s="32"/>
      <c r="K89" s="32"/>
      <c r="L89" s="32"/>
      <c r="M89" s="32"/>
    </row>
    <row r="90" spans="2:13" x14ac:dyDescent="0.3">
      <c r="B90" s="32"/>
      <c r="C90" s="32"/>
      <c r="D90" s="32"/>
      <c r="E90" s="32"/>
      <c r="F90" s="32"/>
      <c r="G90" s="32"/>
      <c r="H90" s="32"/>
      <c r="I90" s="32"/>
      <c r="J90" s="32"/>
      <c r="K90" s="32"/>
      <c r="L90" s="32"/>
      <c r="M90" s="32"/>
    </row>
    <row r="91" spans="2:13" x14ac:dyDescent="0.3">
      <c r="B91" s="32"/>
      <c r="C91" s="32"/>
      <c r="D91" s="32"/>
      <c r="E91" s="32"/>
      <c r="F91" s="32"/>
      <c r="G91" s="32"/>
      <c r="H91" s="32"/>
      <c r="I91" s="32"/>
      <c r="J91" s="32"/>
      <c r="K91" s="32"/>
      <c r="L91" s="32"/>
      <c r="M91" s="32"/>
    </row>
    <row r="92" spans="2:13" x14ac:dyDescent="0.3">
      <c r="B92" s="32"/>
      <c r="C92" s="32"/>
      <c r="D92" s="32"/>
      <c r="E92" s="32"/>
      <c r="F92" s="32"/>
      <c r="G92" s="32"/>
      <c r="H92" s="32"/>
      <c r="I92" s="32"/>
      <c r="J92" s="32"/>
      <c r="K92" s="32"/>
      <c r="L92" s="32"/>
      <c r="M92" s="32"/>
    </row>
    <row r="93" spans="2:13" x14ac:dyDescent="0.3">
      <c r="B93" s="32"/>
      <c r="C93" s="32"/>
      <c r="D93" s="32"/>
      <c r="E93" s="32"/>
      <c r="F93" s="32"/>
      <c r="G93" s="32"/>
      <c r="H93" s="32"/>
      <c r="I93" s="32"/>
      <c r="J93" s="32"/>
      <c r="K93" s="32"/>
      <c r="L93" s="32"/>
      <c r="M93" s="32"/>
    </row>
    <row r="94" spans="2:13" x14ac:dyDescent="0.3">
      <c r="B94" s="32"/>
      <c r="C94" s="32"/>
      <c r="D94" s="32"/>
      <c r="E94" s="32"/>
      <c r="F94" s="32"/>
      <c r="G94" s="32"/>
      <c r="H94" s="32"/>
      <c r="I94" s="32"/>
      <c r="J94" s="32"/>
      <c r="K94" s="32"/>
      <c r="L94" s="32"/>
      <c r="M94" s="32"/>
    </row>
    <row r="95" spans="2:13" x14ac:dyDescent="0.3">
      <c r="B95" s="32"/>
      <c r="C95" s="32"/>
      <c r="D95" s="32"/>
      <c r="E95" s="32"/>
      <c r="F95" s="32"/>
      <c r="G95" s="32"/>
      <c r="H95" s="32"/>
      <c r="I95" s="32"/>
      <c r="J95" s="32"/>
      <c r="K95" s="32"/>
      <c r="L95" s="32"/>
      <c r="M95" s="32"/>
    </row>
    <row r="96" spans="2:13" x14ac:dyDescent="0.3">
      <c r="B96" s="32"/>
      <c r="C96" s="32"/>
      <c r="D96" s="32"/>
      <c r="E96" s="32"/>
      <c r="F96" s="32"/>
      <c r="G96" s="32"/>
      <c r="H96" s="32"/>
      <c r="I96" s="32"/>
      <c r="J96" s="32"/>
      <c r="K96" s="32"/>
      <c r="L96" s="32"/>
      <c r="M96" s="32"/>
    </row>
    <row r="97" spans="2:13" x14ac:dyDescent="0.3">
      <c r="B97" s="32"/>
      <c r="C97" s="32"/>
      <c r="D97" s="32"/>
      <c r="E97" s="32"/>
      <c r="F97" s="32"/>
      <c r="G97" s="32"/>
      <c r="H97" s="32"/>
      <c r="I97" s="32"/>
      <c r="J97" s="32"/>
      <c r="K97" s="32"/>
      <c r="L97" s="32"/>
      <c r="M97" s="32"/>
    </row>
  </sheetData>
  <sheetProtection algorithmName="SHA-512" hashValue="GXIGS5G7FgvAuT48XA/XmxLHEhZk/HhoC0vvdpLc6yidlfKwNUY7iCSHWqdUF0Qc6pSWZkO5Gegbvkv7cU2GMg==" saltValue="OsF3CKuhHh0nhCs3bV6yKQ==" spinCount="100000" sheet="1" objects="1" scenarios="1" selectLockedCells="1" selectUnlockedCells="1"/>
  <mergeCells count="9">
    <mergeCell ref="B11:M11"/>
    <mergeCell ref="B12:M12"/>
    <mergeCell ref="B13:M13"/>
    <mergeCell ref="B3:AE4"/>
    <mergeCell ref="B6:M6"/>
    <mergeCell ref="B7:M7"/>
    <mergeCell ref="B8:M8"/>
    <mergeCell ref="B9:M9"/>
    <mergeCell ref="B10:M1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5B2E3-9F6B-4605-B05C-9BFEEDEE09DE}">
  <dimension ref="A3:S133"/>
  <sheetViews>
    <sheetView showRowColHeaders="0" zoomScaleNormal="100" workbookViewId="0"/>
  </sheetViews>
  <sheetFormatPr defaultColWidth="9.109375" defaultRowHeight="14.4" x14ac:dyDescent="0.3"/>
  <cols>
    <col min="1" max="2" width="9.109375" style="141"/>
    <col min="3" max="3" width="10.88671875" style="141" customWidth="1"/>
    <col min="4" max="12" width="9.109375" style="141"/>
    <col min="13" max="13" width="11.109375" style="141" customWidth="1"/>
    <col min="14" max="14" width="2" style="141" customWidth="1"/>
    <col min="15" max="16384" width="9.109375" style="141"/>
  </cols>
  <sheetData>
    <row r="3" spans="1:14" ht="12.75" customHeight="1" x14ac:dyDescent="0.3">
      <c r="B3" s="241" t="s">
        <v>145</v>
      </c>
      <c r="C3" s="242"/>
      <c r="D3" s="242"/>
      <c r="E3" s="242"/>
      <c r="F3" s="242"/>
      <c r="G3" s="242"/>
      <c r="H3" s="242"/>
      <c r="I3" s="242"/>
      <c r="J3" s="242"/>
      <c r="K3" s="242"/>
      <c r="L3" s="242"/>
      <c r="M3" s="242"/>
      <c r="N3" s="243"/>
    </row>
    <row r="4" spans="1:14" ht="9.75" customHeight="1" x14ac:dyDescent="0.3">
      <c r="B4" s="241"/>
      <c r="C4" s="242"/>
      <c r="D4" s="242"/>
      <c r="E4" s="242"/>
      <c r="F4" s="242"/>
      <c r="G4" s="242"/>
      <c r="H4" s="242"/>
      <c r="I4" s="242"/>
      <c r="J4" s="242"/>
      <c r="K4" s="242"/>
      <c r="L4" s="242"/>
      <c r="M4" s="242"/>
      <c r="N4" s="243"/>
    </row>
    <row r="5" spans="1:14" ht="15.75" customHeight="1" thickBot="1" x14ac:dyDescent="0.35">
      <c r="B5" s="241"/>
      <c r="C5" s="242"/>
      <c r="D5" s="242"/>
      <c r="E5" s="242"/>
      <c r="F5" s="242"/>
      <c r="G5" s="242"/>
      <c r="H5" s="242"/>
      <c r="I5" s="242"/>
      <c r="J5" s="242"/>
      <c r="K5" s="242"/>
      <c r="L5" s="242"/>
      <c r="M5" s="242"/>
      <c r="N5" s="243"/>
    </row>
    <row r="6" spans="1:14" ht="15" thickTop="1" x14ac:dyDescent="0.3">
      <c r="B6" s="221"/>
      <c r="C6" s="222"/>
      <c r="D6" s="222"/>
      <c r="E6" s="222"/>
      <c r="F6" s="222"/>
      <c r="G6" s="222"/>
      <c r="H6" s="222"/>
      <c r="I6" s="222"/>
      <c r="J6" s="222"/>
      <c r="K6" s="222"/>
      <c r="L6" s="222"/>
      <c r="M6" s="222"/>
      <c r="N6" s="223"/>
    </row>
    <row r="7" spans="1:14" x14ac:dyDescent="0.3">
      <c r="A7" s="142"/>
      <c r="B7" s="256" t="s">
        <v>146</v>
      </c>
      <c r="C7" s="257"/>
      <c r="D7" s="257"/>
      <c r="E7" s="257"/>
      <c r="F7" s="257"/>
      <c r="G7" s="257"/>
      <c r="H7" s="257"/>
      <c r="I7" s="257"/>
      <c r="J7" s="257"/>
      <c r="K7" s="257"/>
      <c r="L7" s="257"/>
      <c r="M7" s="257"/>
      <c r="N7" s="126"/>
    </row>
    <row r="8" spans="1:14" x14ac:dyDescent="0.3">
      <c r="B8" s="224"/>
      <c r="C8" s="225"/>
      <c r="D8" s="225"/>
      <c r="E8" s="225"/>
      <c r="F8" s="225"/>
      <c r="G8" s="225"/>
      <c r="H8" s="225"/>
      <c r="I8" s="225"/>
      <c r="J8" s="225"/>
      <c r="K8" s="225"/>
      <c r="L8" s="225"/>
      <c r="M8" s="225"/>
      <c r="N8" s="126"/>
    </row>
    <row r="9" spans="1:14" x14ac:dyDescent="0.3">
      <c r="B9" s="224"/>
      <c r="C9" s="225"/>
      <c r="D9" s="225"/>
      <c r="E9" s="225"/>
      <c r="F9" s="225"/>
      <c r="G9" s="225"/>
      <c r="H9" s="225"/>
      <c r="I9" s="225"/>
      <c r="J9" s="225"/>
      <c r="K9" s="225"/>
      <c r="L9" s="225"/>
      <c r="M9" s="225"/>
      <c r="N9" s="126"/>
    </row>
    <row r="10" spans="1:14" x14ac:dyDescent="0.3">
      <c r="B10" s="224"/>
      <c r="C10" s="225"/>
      <c r="D10" s="225"/>
      <c r="E10" s="225"/>
      <c r="F10" s="225"/>
      <c r="G10" s="225"/>
      <c r="H10" s="225"/>
      <c r="I10" s="225"/>
      <c r="J10" s="225"/>
      <c r="K10" s="225"/>
      <c r="L10" s="225"/>
      <c r="M10" s="225"/>
      <c r="N10" s="126"/>
    </row>
    <row r="11" spans="1:14" x14ac:dyDescent="0.3">
      <c r="B11" s="224"/>
      <c r="C11" s="225"/>
      <c r="D11" s="225"/>
      <c r="E11" s="225"/>
      <c r="F11" s="225"/>
      <c r="G11" s="225"/>
      <c r="H11" s="225"/>
      <c r="I11" s="225"/>
      <c r="J11" s="225"/>
      <c r="K11" s="225"/>
      <c r="L11" s="225"/>
      <c r="M11" s="225"/>
      <c r="N11" s="126"/>
    </row>
    <row r="12" spans="1:14" x14ac:dyDescent="0.3">
      <c r="B12" s="224"/>
      <c r="C12" s="225"/>
      <c r="D12" s="225"/>
      <c r="E12" s="225"/>
      <c r="F12" s="225"/>
      <c r="G12" s="225"/>
      <c r="H12" s="225"/>
      <c r="I12" s="225"/>
      <c r="J12" s="225"/>
      <c r="K12" s="225"/>
      <c r="L12" s="225"/>
      <c r="M12" s="225"/>
      <c r="N12" s="126"/>
    </row>
    <row r="13" spans="1:14" x14ac:dyDescent="0.3">
      <c r="B13" s="224"/>
      <c r="C13" s="225"/>
      <c r="D13" s="225"/>
      <c r="E13" s="225"/>
      <c r="F13" s="225"/>
      <c r="G13" s="225"/>
      <c r="H13" s="225"/>
      <c r="I13" s="225"/>
      <c r="J13" s="225"/>
      <c r="K13" s="225"/>
      <c r="L13" s="225"/>
      <c r="M13" s="225"/>
      <c r="N13" s="126"/>
    </row>
    <row r="14" spans="1:14" x14ac:dyDescent="0.3">
      <c r="B14" s="224"/>
      <c r="C14" s="225"/>
      <c r="D14" s="225"/>
      <c r="E14" s="225"/>
      <c r="F14" s="225"/>
      <c r="G14" s="225"/>
      <c r="H14" s="225"/>
      <c r="I14" s="225"/>
      <c r="J14" s="225"/>
      <c r="K14" s="225"/>
      <c r="L14" s="225"/>
      <c r="M14" s="225"/>
      <c r="N14" s="126"/>
    </row>
    <row r="15" spans="1:14" x14ac:dyDescent="0.3">
      <c r="B15" s="224"/>
      <c r="C15" s="225"/>
      <c r="D15" s="225"/>
      <c r="E15" s="225"/>
      <c r="F15" s="225"/>
      <c r="G15" s="225"/>
      <c r="H15" s="225"/>
      <c r="I15" s="225"/>
      <c r="J15" s="225"/>
      <c r="K15" s="225"/>
      <c r="L15" s="225"/>
      <c r="M15" s="225"/>
      <c r="N15" s="126"/>
    </row>
    <row r="16" spans="1:14" x14ac:dyDescent="0.3">
      <c r="B16" s="224"/>
      <c r="C16" s="225"/>
      <c r="D16" s="225"/>
      <c r="E16" s="225"/>
      <c r="F16" s="225"/>
      <c r="G16" s="225"/>
      <c r="H16" s="225"/>
      <c r="I16" s="225"/>
      <c r="J16" s="225"/>
      <c r="K16" s="225"/>
      <c r="L16" s="225"/>
      <c r="M16" s="225"/>
      <c r="N16" s="126"/>
    </row>
    <row r="17" spans="1:19" x14ac:dyDescent="0.3">
      <c r="B17" s="224"/>
      <c r="C17" s="225"/>
      <c r="D17" s="225"/>
      <c r="E17" s="225"/>
      <c r="F17" s="225"/>
      <c r="G17" s="225"/>
      <c r="H17" s="225"/>
      <c r="I17" s="225"/>
      <c r="J17" s="225"/>
      <c r="K17" s="225"/>
      <c r="L17" s="225"/>
      <c r="M17" s="225"/>
      <c r="N17" s="126"/>
    </row>
    <row r="18" spans="1:19" x14ac:dyDescent="0.3">
      <c r="B18" s="224"/>
      <c r="C18" s="225"/>
      <c r="D18" s="225"/>
      <c r="E18" s="225"/>
      <c r="F18" s="225"/>
      <c r="G18" s="225"/>
      <c r="H18" s="225"/>
      <c r="I18" s="225"/>
      <c r="J18" s="225"/>
      <c r="K18" s="225"/>
      <c r="L18" s="225"/>
      <c r="M18" s="225"/>
      <c r="N18" s="126"/>
    </row>
    <row r="19" spans="1:19" x14ac:dyDescent="0.3">
      <c r="B19" s="224"/>
      <c r="C19" s="225"/>
      <c r="D19" s="225"/>
      <c r="E19" s="225"/>
      <c r="F19" s="225"/>
      <c r="G19" s="225"/>
      <c r="H19" s="225"/>
      <c r="I19" s="225"/>
      <c r="J19" s="225"/>
      <c r="K19" s="225"/>
      <c r="L19" s="225"/>
      <c r="M19" s="225"/>
      <c r="N19" s="126"/>
    </row>
    <row r="20" spans="1:19" ht="17.399999999999999" x14ac:dyDescent="0.3">
      <c r="A20" s="142"/>
      <c r="B20" s="127" t="s">
        <v>258</v>
      </c>
      <c r="C20" s="225"/>
      <c r="D20" s="225"/>
      <c r="E20" s="225"/>
      <c r="F20" s="225"/>
      <c r="G20" s="225"/>
      <c r="H20" s="225"/>
      <c r="I20" s="225"/>
      <c r="J20" s="225"/>
      <c r="K20" s="225"/>
      <c r="L20" s="225"/>
      <c r="M20" s="225"/>
      <c r="N20" s="126"/>
    </row>
    <row r="21" spans="1:19" x14ac:dyDescent="0.3">
      <c r="B21" s="224"/>
      <c r="C21" s="225"/>
      <c r="D21" s="225"/>
      <c r="E21" s="225"/>
      <c r="F21" s="225"/>
      <c r="G21" s="225"/>
      <c r="H21" s="225"/>
      <c r="I21" s="225"/>
      <c r="J21" s="225"/>
      <c r="K21" s="225"/>
      <c r="L21" s="225"/>
      <c r="M21" s="225"/>
      <c r="N21" s="126"/>
    </row>
    <row r="22" spans="1:19" x14ac:dyDescent="0.3">
      <c r="B22" s="224"/>
      <c r="C22" s="132" t="s">
        <v>148</v>
      </c>
      <c r="D22" s="225"/>
      <c r="E22" s="225"/>
      <c r="F22" s="225"/>
      <c r="G22" s="225"/>
      <c r="H22" s="225"/>
      <c r="I22" s="225"/>
      <c r="J22" s="225"/>
      <c r="K22" s="225"/>
      <c r="L22" s="225"/>
      <c r="M22" s="225"/>
      <c r="N22" s="126"/>
    </row>
    <row r="23" spans="1:19" x14ac:dyDescent="0.3">
      <c r="B23" s="224"/>
      <c r="C23" s="226"/>
      <c r="D23" s="227" t="s">
        <v>149</v>
      </c>
      <c r="E23" s="225"/>
      <c r="F23" s="225"/>
      <c r="G23" s="225"/>
      <c r="H23" s="225"/>
      <c r="I23" s="225"/>
      <c r="J23" s="225"/>
      <c r="K23" s="225"/>
      <c r="L23" s="225"/>
      <c r="M23" s="225"/>
      <c r="N23" s="126"/>
    </row>
    <row r="24" spans="1:19" x14ac:dyDescent="0.3">
      <c r="B24" s="224"/>
      <c r="C24" s="228"/>
      <c r="D24" s="227" t="s">
        <v>150</v>
      </c>
      <c r="E24" s="225"/>
      <c r="F24" s="225"/>
      <c r="G24" s="225"/>
      <c r="H24" s="225"/>
      <c r="I24" s="225"/>
      <c r="J24" s="225"/>
      <c r="K24" s="225"/>
      <c r="L24" s="225"/>
      <c r="M24" s="225"/>
      <c r="N24" s="126"/>
    </row>
    <row r="25" spans="1:19" ht="16.8" x14ac:dyDescent="0.4">
      <c r="B25" s="224"/>
      <c r="C25" s="229"/>
      <c r="D25" s="227" t="s">
        <v>151</v>
      </c>
      <c r="E25" s="225"/>
      <c r="F25" s="225"/>
      <c r="G25" s="225"/>
      <c r="H25" s="225"/>
      <c r="I25" s="225"/>
      <c r="J25" s="225"/>
      <c r="K25" s="225"/>
      <c r="L25" s="225"/>
      <c r="M25" s="225"/>
      <c r="N25" s="126"/>
      <c r="S25" s="230"/>
    </row>
    <row r="26" spans="1:19" ht="16.8" x14ac:dyDescent="0.4">
      <c r="B26" s="224"/>
      <c r="C26" s="225"/>
      <c r="D26" s="225"/>
      <c r="E26" s="225"/>
      <c r="F26" s="225"/>
      <c r="G26" s="225"/>
      <c r="H26" s="225"/>
      <c r="I26" s="225"/>
      <c r="J26" s="225"/>
      <c r="K26" s="225"/>
      <c r="L26" s="225"/>
      <c r="M26" s="225"/>
      <c r="N26" s="126"/>
      <c r="S26" s="231"/>
    </row>
    <row r="27" spans="1:19" ht="16.8" x14ac:dyDescent="0.4">
      <c r="A27" s="142"/>
      <c r="B27" s="256" t="s">
        <v>153</v>
      </c>
      <c r="C27" s="257"/>
      <c r="D27" s="257"/>
      <c r="E27" s="257"/>
      <c r="F27" s="257"/>
      <c r="G27" s="257"/>
      <c r="H27" s="257"/>
      <c r="I27" s="257"/>
      <c r="J27" s="257"/>
      <c r="K27" s="257"/>
      <c r="L27" s="257"/>
      <c r="M27" s="257"/>
      <c r="N27" s="126"/>
      <c r="S27" s="230"/>
    </row>
    <row r="28" spans="1:19" ht="9.75" customHeight="1" x14ac:dyDescent="0.4">
      <c r="B28" s="224"/>
      <c r="C28" s="225"/>
      <c r="D28" s="225"/>
      <c r="E28" s="225"/>
      <c r="F28" s="225"/>
      <c r="G28" s="225"/>
      <c r="H28" s="225"/>
      <c r="I28" s="225"/>
      <c r="J28" s="225"/>
      <c r="K28" s="225"/>
      <c r="L28" s="225"/>
      <c r="M28" s="225"/>
      <c r="N28" s="126"/>
      <c r="S28" s="230"/>
    </row>
    <row r="29" spans="1:19" x14ac:dyDescent="0.3">
      <c r="B29" s="224"/>
      <c r="C29" s="225"/>
      <c r="D29" s="225"/>
      <c r="E29" s="225"/>
      <c r="F29" s="225"/>
      <c r="G29" s="225"/>
      <c r="H29" s="225"/>
      <c r="I29" s="225"/>
      <c r="J29" s="225"/>
      <c r="K29" s="225"/>
      <c r="L29" s="225"/>
      <c r="M29" s="225"/>
      <c r="N29" s="126"/>
    </row>
    <row r="30" spans="1:19" x14ac:dyDescent="0.3">
      <c r="B30" s="224"/>
      <c r="C30" s="225"/>
      <c r="D30" s="225"/>
      <c r="E30" s="225"/>
      <c r="F30" s="225"/>
      <c r="G30" s="225"/>
      <c r="H30" s="225"/>
      <c r="I30" s="225"/>
      <c r="J30" s="225"/>
      <c r="K30" s="225"/>
      <c r="L30" s="225"/>
      <c r="M30" s="225"/>
      <c r="N30" s="126"/>
    </row>
    <row r="31" spans="1:19" x14ac:dyDescent="0.3">
      <c r="B31" s="224"/>
      <c r="C31" s="225"/>
      <c r="D31" s="225"/>
      <c r="E31" s="225"/>
      <c r="F31" s="225"/>
      <c r="G31" s="225"/>
      <c r="H31" s="225"/>
      <c r="I31" s="225"/>
      <c r="J31" s="225"/>
      <c r="K31" s="225"/>
      <c r="L31" s="225"/>
      <c r="M31" s="225"/>
      <c r="N31" s="126"/>
    </row>
    <row r="32" spans="1:19" x14ac:dyDescent="0.3">
      <c r="B32" s="224"/>
      <c r="C32" s="225"/>
      <c r="D32" s="225"/>
      <c r="E32" s="225"/>
      <c r="F32" s="225"/>
      <c r="G32" s="225"/>
      <c r="H32" s="225"/>
      <c r="I32" s="225"/>
      <c r="J32" s="225"/>
      <c r="K32" s="225"/>
      <c r="L32" s="225"/>
      <c r="M32" s="225"/>
      <c r="N32" s="126"/>
    </row>
    <row r="33" spans="1:14" x14ac:dyDescent="0.3">
      <c r="B33" s="224"/>
      <c r="C33" s="225"/>
      <c r="D33" s="225"/>
      <c r="E33" s="225"/>
      <c r="F33" s="225"/>
      <c r="G33" s="225"/>
      <c r="H33" s="225"/>
      <c r="I33" s="225"/>
      <c r="J33" s="225"/>
      <c r="K33" s="225"/>
      <c r="L33" s="225"/>
      <c r="M33" s="225"/>
      <c r="N33" s="126"/>
    </row>
    <row r="34" spans="1:14" x14ac:dyDescent="0.3">
      <c r="B34" s="224"/>
      <c r="C34" s="225"/>
      <c r="D34" s="225"/>
      <c r="E34" s="225"/>
      <c r="F34" s="225"/>
      <c r="G34" s="225"/>
      <c r="H34" s="225"/>
      <c r="I34" s="225"/>
      <c r="J34" s="225"/>
      <c r="K34" s="225"/>
      <c r="L34" s="225"/>
      <c r="M34" s="225"/>
      <c r="N34" s="126"/>
    </row>
    <row r="35" spans="1:14" x14ac:dyDescent="0.3">
      <c r="B35" s="224"/>
      <c r="C35" s="225"/>
      <c r="D35" s="225"/>
      <c r="E35" s="225"/>
      <c r="F35" s="225"/>
      <c r="G35" s="225"/>
      <c r="H35" s="225"/>
      <c r="I35" s="225"/>
      <c r="J35" s="225"/>
      <c r="K35" s="225"/>
      <c r="L35" s="225"/>
      <c r="M35" s="225"/>
      <c r="N35" s="126"/>
    </row>
    <row r="36" spans="1:14" ht="42.75" customHeight="1" x14ac:dyDescent="0.3">
      <c r="B36" s="224"/>
      <c r="C36" s="225"/>
      <c r="D36" s="225"/>
      <c r="E36" s="225"/>
      <c r="F36" s="225"/>
      <c r="G36" s="225"/>
      <c r="H36" s="225"/>
      <c r="I36" s="225"/>
      <c r="J36" s="225"/>
      <c r="K36" s="225"/>
      <c r="L36" s="225"/>
      <c r="M36" s="225"/>
      <c r="N36" s="126"/>
    </row>
    <row r="37" spans="1:14" ht="31.5" customHeight="1" x14ac:dyDescent="0.3">
      <c r="A37" s="142"/>
      <c r="B37" s="258" t="s">
        <v>152</v>
      </c>
      <c r="C37" s="258"/>
      <c r="D37" s="258"/>
      <c r="E37" s="258"/>
      <c r="F37" s="258"/>
      <c r="G37" s="258"/>
      <c r="H37" s="258"/>
      <c r="I37" s="258"/>
      <c r="J37" s="258"/>
      <c r="K37" s="258"/>
      <c r="L37" s="258"/>
      <c r="M37" s="258"/>
      <c r="N37" s="126"/>
    </row>
    <row r="38" spans="1:14" x14ac:dyDescent="0.3">
      <c r="B38" s="224"/>
      <c r="C38" s="225"/>
      <c r="D38" s="225"/>
      <c r="E38" s="225"/>
      <c r="F38" s="225"/>
      <c r="G38" s="225"/>
      <c r="H38" s="225"/>
      <c r="I38" s="225"/>
      <c r="J38" s="225"/>
      <c r="K38" s="225"/>
      <c r="L38" s="225"/>
      <c r="M38" s="225"/>
      <c r="N38" s="126"/>
    </row>
    <row r="39" spans="1:14" x14ac:dyDescent="0.3">
      <c r="B39" s="130" t="s">
        <v>147</v>
      </c>
      <c r="C39" s="232"/>
      <c r="D39" s="232"/>
      <c r="E39" s="232"/>
      <c r="F39" s="232"/>
      <c r="G39" s="232"/>
      <c r="H39" s="232"/>
      <c r="I39" s="232"/>
      <c r="J39" s="232"/>
      <c r="K39" s="232"/>
      <c r="L39" s="232"/>
      <c r="M39" s="232"/>
      <c r="N39" s="126"/>
    </row>
    <row r="40" spans="1:14" ht="72" customHeight="1" x14ac:dyDescent="0.3">
      <c r="A40" s="142"/>
      <c r="B40" s="258" t="s">
        <v>219</v>
      </c>
      <c r="C40" s="258"/>
      <c r="D40" s="258"/>
      <c r="E40" s="258"/>
      <c r="F40" s="258"/>
      <c r="G40" s="258"/>
      <c r="H40" s="258"/>
      <c r="I40" s="258"/>
      <c r="J40" s="258"/>
      <c r="K40" s="258"/>
      <c r="L40" s="258"/>
      <c r="M40" s="258"/>
      <c r="N40" s="126"/>
    </row>
    <row r="41" spans="1:14" ht="12.75" customHeight="1" x14ac:dyDescent="0.3">
      <c r="A41" s="142"/>
      <c r="B41" s="232"/>
      <c r="C41" s="232"/>
      <c r="D41" s="232"/>
      <c r="E41" s="232"/>
      <c r="F41" s="232"/>
      <c r="G41" s="232"/>
      <c r="H41" s="232"/>
      <c r="I41" s="232"/>
      <c r="J41" s="232"/>
      <c r="K41" s="232"/>
      <c r="L41" s="232"/>
      <c r="M41" s="232"/>
      <c r="N41" s="126"/>
    </row>
    <row r="42" spans="1:14" ht="17.399999999999999" x14ac:dyDescent="0.3">
      <c r="A42" s="142"/>
      <c r="B42" s="131" t="s">
        <v>259</v>
      </c>
      <c r="C42" s="232"/>
      <c r="D42" s="232"/>
      <c r="E42" s="232"/>
      <c r="F42" s="232"/>
      <c r="G42" s="232"/>
      <c r="H42" s="232"/>
      <c r="I42" s="232"/>
      <c r="J42" s="232"/>
      <c r="K42" s="232"/>
      <c r="L42" s="232"/>
      <c r="M42" s="232"/>
      <c r="N42" s="126"/>
    </row>
    <row r="43" spans="1:14" x14ac:dyDescent="0.3">
      <c r="A43" s="142"/>
      <c r="B43" s="232"/>
      <c r="C43" s="232"/>
      <c r="D43" s="232"/>
      <c r="E43" s="232"/>
      <c r="F43" s="232"/>
      <c r="G43" s="232"/>
      <c r="H43" s="232"/>
      <c r="I43" s="232"/>
      <c r="J43" s="232"/>
      <c r="K43" s="232"/>
      <c r="L43" s="232"/>
      <c r="M43" s="232"/>
      <c r="N43" s="126"/>
    </row>
    <row r="44" spans="1:14" x14ac:dyDescent="0.3">
      <c r="A44" s="142"/>
      <c r="B44" s="254" t="s">
        <v>176</v>
      </c>
      <c r="C44" s="255"/>
      <c r="D44" s="255"/>
      <c r="E44" s="255"/>
      <c r="F44" s="255"/>
      <c r="G44" s="255"/>
      <c r="H44" s="255"/>
      <c r="I44" s="255"/>
      <c r="J44" s="255"/>
      <c r="K44" s="255"/>
      <c r="L44" s="255"/>
      <c r="M44" s="255"/>
      <c r="N44" s="126"/>
    </row>
    <row r="45" spans="1:14" ht="9" customHeight="1" x14ac:dyDescent="0.3">
      <c r="A45" s="142"/>
      <c r="B45" s="232"/>
      <c r="C45" s="232"/>
      <c r="D45" s="232"/>
      <c r="E45" s="232"/>
      <c r="F45" s="232"/>
      <c r="G45" s="232"/>
      <c r="H45" s="232"/>
      <c r="I45" s="232"/>
      <c r="J45" s="232"/>
      <c r="K45" s="232"/>
      <c r="L45" s="232"/>
      <c r="M45" s="232"/>
      <c r="N45" s="126"/>
    </row>
    <row r="46" spans="1:14" x14ac:dyDescent="0.3">
      <c r="A46" s="142"/>
      <c r="B46" s="261" t="s">
        <v>154</v>
      </c>
      <c r="C46" s="262"/>
      <c r="D46" s="262"/>
      <c r="E46" s="262"/>
      <c r="F46" s="262"/>
      <c r="G46" s="262"/>
      <c r="H46" s="262"/>
      <c r="I46" s="262"/>
      <c r="J46" s="262"/>
      <c r="K46" s="262"/>
      <c r="L46" s="262"/>
      <c r="M46" s="262"/>
      <c r="N46" s="126"/>
    </row>
    <row r="47" spans="1:14" ht="45" customHeight="1" x14ac:dyDescent="0.3">
      <c r="A47" s="142"/>
      <c r="B47" s="263" t="s">
        <v>155</v>
      </c>
      <c r="C47" s="263"/>
      <c r="D47" s="263"/>
      <c r="E47" s="263"/>
      <c r="F47" s="263"/>
      <c r="G47" s="263"/>
      <c r="H47" s="263"/>
      <c r="I47" s="263"/>
      <c r="J47" s="263"/>
      <c r="K47" s="263"/>
      <c r="L47" s="263"/>
      <c r="M47" s="263"/>
      <c r="N47" s="126"/>
    </row>
    <row r="48" spans="1:14" ht="43.5" customHeight="1" x14ac:dyDescent="0.3">
      <c r="A48" s="142"/>
      <c r="B48" s="263" t="s">
        <v>260</v>
      </c>
      <c r="C48" s="263"/>
      <c r="D48" s="263"/>
      <c r="E48" s="263"/>
      <c r="F48" s="263"/>
      <c r="G48" s="263"/>
      <c r="H48" s="263"/>
      <c r="I48" s="263"/>
      <c r="J48" s="263"/>
      <c r="K48" s="263"/>
      <c r="L48" s="263"/>
      <c r="M48" s="263"/>
      <c r="N48" s="126"/>
    </row>
    <row r="49" spans="1:14" ht="15.75" customHeight="1" x14ac:dyDescent="0.3">
      <c r="A49" s="142"/>
      <c r="B49" s="263" t="s">
        <v>261</v>
      </c>
      <c r="C49" s="263"/>
      <c r="D49" s="263"/>
      <c r="E49" s="263"/>
      <c r="F49" s="263"/>
      <c r="G49" s="263"/>
      <c r="H49" s="263"/>
      <c r="I49" s="263"/>
      <c r="J49" s="263"/>
      <c r="K49" s="263"/>
      <c r="L49" s="263"/>
      <c r="M49" s="263"/>
      <c r="N49" s="126"/>
    </row>
    <row r="50" spans="1:14" ht="90" customHeight="1" x14ac:dyDescent="0.3">
      <c r="A50" s="142"/>
      <c r="B50" s="263" t="s">
        <v>267</v>
      </c>
      <c r="C50" s="263"/>
      <c r="D50" s="263"/>
      <c r="E50" s="263"/>
      <c r="F50" s="263"/>
      <c r="G50" s="263"/>
      <c r="H50" s="263"/>
      <c r="I50" s="263"/>
      <c r="J50" s="263"/>
      <c r="K50" s="263"/>
      <c r="L50" s="263"/>
      <c r="M50" s="263"/>
      <c r="N50" s="126"/>
    </row>
    <row r="51" spans="1:14" ht="33.75" customHeight="1" x14ac:dyDescent="0.3">
      <c r="B51" s="259" t="s">
        <v>177</v>
      </c>
      <c r="C51" s="260"/>
      <c r="D51" s="260"/>
      <c r="E51" s="260"/>
      <c r="F51" s="260"/>
      <c r="G51" s="260"/>
      <c r="H51" s="260"/>
      <c r="I51" s="260"/>
      <c r="J51" s="260"/>
      <c r="K51" s="260"/>
      <c r="L51" s="260"/>
      <c r="M51" s="260"/>
      <c r="N51" s="126"/>
    </row>
    <row r="52" spans="1:14" ht="46.5" customHeight="1" x14ac:dyDescent="0.3">
      <c r="B52" s="264" t="s">
        <v>156</v>
      </c>
      <c r="C52" s="265"/>
      <c r="D52" s="265"/>
      <c r="E52" s="265"/>
      <c r="F52" s="265"/>
      <c r="G52" s="265"/>
      <c r="H52" s="265"/>
      <c r="I52" s="265"/>
      <c r="J52" s="265"/>
      <c r="K52" s="265"/>
      <c r="L52" s="265"/>
      <c r="M52" s="265"/>
      <c r="N52" s="126"/>
    </row>
    <row r="53" spans="1:14" ht="61.5" customHeight="1" x14ac:dyDescent="0.3">
      <c r="B53" s="264" t="s">
        <v>157</v>
      </c>
      <c r="C53" s="265"/>
      <c r="D53" s="265"/>
      <c r="E53" s="265"/>
      <c r="F53" s="265"/>
      <c r="G53" s="265"/>
      <c r="H53" s="265"/>
      <c r="I53" s="265"/>
      <c r="J53" s="265"/>
      <c r="K53" s="265"/>
      <c r="L53" s="265"/>
      <c r="M53" s="265"/>
      <c r="N53" s="126"/>
    </row>
    <row r="54" spans="1:14" x14ac:dyDescent="0.3">
      <c r="B54" s="261" t="s">
        <v>158</v>
      </c>
      <c r="C54" s="262"/>
      <c r="D54" s="262"/>
      <c r="E54" s="262"/>
      <c r="F54" s="262"/>
      <c r="G54" s="262"/>
      <c r="H54" s="262"/>
      <c r="I54" s="262"/>
      <c r="J54" s="262"/>
      <c r="K54" s="262"/>
      <c r="L54" s="262"/>
      <c r="M54" s="262"/>
      <c r="N54" s="126"/>
    </row>
    <row r="55" spans="1:14" x14ac:dyDescent="0.3">
      <c r="B55" s="219"/>
      <c r="C55" s="232"/>
      <c r="D55" s="232"/>
      <c r="E55" s="232"/>
      <c r="F55" s="232"/>
      <c r="G55" s="232"/>
      <c r="H55" s="232"/>
      <c r="I55" s="232"/>
      <c r="J55" s="232"/>
      <c r="K55" s="232"/>
      <c r="L55" s="232"/>
      <c r="M55" s="232"/>
      <c r="N55" s="126"/>
    </row>
    <row r="56" spans="1:14" ht="33" customHeight="1" x14ac:dyDescent="0.3">
      <c r="B56" s="259" t="s">
        <v>178</v>
      </c>
      <c r="C56" s="260"/>
      <c r="D56" s="260"/>
      <c r="E56" s="260"/>
      <c r="F56" s="260"/>
      <c r="G56" s="260"/>
      <c r="H56" s="260"/>
      <c r="I56" s="260"/>
      <c r="J56" s="260"/>
      <c r="K56" s="260"/>
      <c r="L56" s="260"/>
      <c r="M56" s="260"/>
      <c r="N56" s="126"/>
    </row>
    <row r="57" spans="1:14" x14ac:dyDescent="0.3">
      <c r="B57" s="219" t="s">
        <v>159</v>
      </c>
      <c r="C57" s="232"/>
      <c r="D57" s="232"/>
      <c r="E57" s="232"/>
      <c r="F57" s="232"/>
      <c r="G57" s="232"/>
      <c r="H57" s="232"/>
      <c r="I57" s="232"/>
      <c r="J57" s="232"/>
      <c r="K57" s="232"/>
      <c r="L57" s="232"/>
      <c r="M57" s="232"/>
      <c r="N57" s="126"/>
    </row>
    <row r="58" spans="1:14" ht="47.25" customHeight="1" x14ac:dyDescent="0.3">
      <c r="B58" s="264" t="s">
        <v>160</v>
      </c>
      <c r="C58" s="265"/>
      <c r="D58" s="265"/>
      <c r="E58" s="265"/>
      <c r="F58" s="265"/>
      <c r="G58" s="265"/>
      <c r="H58" s="265"/>
      <c r="I58" s="265"/>
      <c r="J58" s="265"/>
      <c r="K58" s="265"/>
      <c r="L58" s="265"/>
      <c r="M58" s="265"/>
      <c r="N58" s="126"/>
    </row>
    <row r="59" spans="1:14" x14ac:dyDescent="0.3">
      <c r="B59" s="219" t="s">
        <v>161</v>
      </c>
      <c r="C59" s="232"/>
      <c r="D59" s="232"/>
      <c r="E59" s="232"/>
      <c r="F59" s="232"/>
      <c r="G59" s="232"/>
      <c r="H59" s="232"/>
      <c r="I59" s="232"/>
      <c r="J59" s="232"/>
      <c r="K59" s="232"/>
      <c r="L59" s="232"/>
      <c r="M59" s="232"/>
      <c r="N59" s="126"/>
    </row>
    <row r="60" spans="1:14" x14ac:dyDescent="0.3">
      <c r="B60" s="219"/>
      <c r="C60" s="232"/>
      <c r="D60" s="232"/>
      <c r="E60" s="232"/>
      <c r="F60" s="232"/>
      <c r="G60" s="232"/>
      <c r="H60" s="232"/>
      <c r="I60" s="232"/>
      <c r="J60" s="232"/>
      <c r="K60" s="232"/>
      <c r="L60" s="232"/>
      <c r="M60" s="232"/>
      <c r="N60" s="126"/>
    </row>
    <row r="61" spans="1:14" ht="33" customHeight="1" x14ac:dyDescent="0.3">
      <c r="B61" s="259" t="s">
        <v>179</v>
      </c>
      <c r="C61" s="260"/>
      <c r="D61" s="260"/>
      <c r="E61" s="260"/>
      <c r="F61" s="260"/>
      <c r="G61" s="260"/>
      <c r="H61" s="260"/>
      <c r="I61" s="260"/>
      <c r="J61" s="260"/>
      <c r="K61" s="260"/>
      <c r="L61" s="260"/>
      <c r="M61" s="260"/>
      <c r="N61" s="126"/>
    </row>
    <row r="62" spans="1:14" x14ac:dyDescent="0.3">
      <c r="B62" s="261" t="s">
        <v>162</v>
      </c>
      <c r="C62" s="262"/>
      <c r="D62" s="262"/>
      <c r="E62" s="262"/>
      <c r="F62" s="262"/>
      <c r="G62" s="262"/>
      <c r="H62" s="262"/>
      <c r="I62" s="262"/>
      <c r="J62" s="262"/>
      <c r="K62" s="262"/>
      <c r="L62" s="262"/>
      <c r="M62" s="262"/>
      <c r="N62" s="126"/>
    </row>
    <row r="63" spans="1:14" x14ac:dyDescent="0.3">
      <c r="B63" s="261" t="s">
        <v>163</v>
      </c>
      <c r="C63" s="262"/>
      <c r="D63" s="262"/>
      <c r="E63" s="262"/>
      <c r="F63" s="262"/>
      <c r="G63" s="262"/>
      <c r="H63" s="262"/>
      <c r="I63" s="262"/>
      <c r="J63" s="262"/>
      <c r="K63" s="262"/>
      <c r="L63" s="262"/>
      <c r="M63" s="262"/>
      <c r="N63" s="126"/>
    </row>
    <row r="64" spans="1:14" ht="32.25" customHeight="1" x14ac:dyDescent="0.3">
      <c r="B64" s="264" t="s">
        <v>164</v>
      </c>
      <c r="C64" s="265"/>
      <c r="D64" s="265"/>
      <c r="E64" s="265"/>
      <c r="F64" s="265"/>
      <c r="G64" s="265"/>
      <c r="H64" s="265"/>
      <c r="I64" s="265"/>
      <c r="J64" s="265"/>
      <c r="K64" s="265"/>
      <c r="L64" s="265"/>
      <c r="M64" s="265"/>
      <c r="N64" s="126"/>
    </row>
    <row r="65" spans="2:14" ht="16.5" customHeight="1" x14ac:dyDescent="0.3">
      <c r="B65" s="218"/>
      <c r="C65" s="233"/>
      <c r="D65" s="233"/>
      <c r="E65" s="233"/>
      <c r="F65" s="233"/>
      <c r="G65" s="233"/>
      <c r="H65" s="233"/>
      <c r="I65" s="233"/>
      <c r="J65" s="233"/>
      <c r="K65" s="233"/>
      <c r="L65" s="233"/>
      <c r="M65" s="233"/>
      <c r="N65" s="126"/>
    </row>
    <row r="66" spans="2:14" x14ac:dyDescent="0.3">
      <c r="B66" s="259" t="s">
        <v>180</v>
      </c>
      <c r="C66" s="260"/>
      <c r="D66" s="260"/>
      <c r="E66" s="260"/>
      <c r="F66" s="260"/>
      <c r="G66" s="260"/>
      <c r="H66" s="260"/>
      <c r="I66" s="260"/>
      <c r="J66" s="260"/>
      <c r="K66" s="260"/>
      <c r="L66" s="260"/>
      <c r="M66" s="260"/>
      <c r="N66" s="126"/>
    </row>
    <row r="67" spans="2:14" ht="32.25" customHeight="1" x14ac:dyDescent="0.3">
      <c r="B67" s="218"/>
      <c r="C67" s="233"/>
      <c r="D67" s="233"/>
      <c r="E67" s="233"/>
      <c r="F67" s="233"/>
      <c r="G67" s="233"/>
      <c r="H67" s="233"/>
      <c r="I67" s="233"/>
      <c r="J67" s="233"/>
      <c r="K67" s="233"/>
      <c r="L67" s="233"/>
      <c r="M67" s="233"/>
      <c r="N67" s="126"/>
    </row>
    <row r="68" spans="2:14" ht="32.25" customHeight="1" x14ac:dyDescent="0.3">
      <c r="B68" s="218"/>
      <c r="C68" s="233"/>
      <c r="D68" s="233"/>
      <c r="E68" s="233"/>
      <c r="F68" s="233"/>
      <c r="G68" s="233"/>
      <c r="H68" s="233"/>
      <c r="I68" s="233"/>
      <c r="J68" s="233"/>
      <c r="K68" s="233"/>
      <c r="L68" s="233"/>
      <c r="M68" s="233"/>
      <c r="N68" s="126"/>
    </row>
    <row r="69" spans="2:14" ht="32.25" customHeight="1" x14ac:dyDescent="0.3">
      <c r="B69" s="218"/>
      <c r="C69" s="233"/>
      <c r="D69" s="233"/>
      <c r="E69" s="233"/>
      <c r="F69" s="233"/>
      <c r="G69" s="233"/>
      <c r="H69" s="233"/>
      <c r="I69" s="233"/>
      <c r="J69" s="233"/>
      <c r="K69" s="233"/>
      <c r="L69" s="233"/>
      <c r="M69" s="233"/>
      <c r="N69" s="126"/>
    </row>
    <row r="70" spans="2:14" ht="32.25" customHeight="1" x14ac:dyDescent="0.3">
      <c r="B70" s="218"/>
      <c r="C70" s="233"/>
      <c r="D70" s="233"/>
      <c r="E70" s="233"/>
      <c r="F70" s="233"/>
      <c r="G70" s="233"/>
      <c r="H70" s="233"/>
      <c r="I70" s="233"/>
      <c r="J70" s="233"/>
      <c r="K70" s="233"/>
      <c r="L70" s="233"/>
      <c r="M70" s="233"/>
      <c r="N70" s="126"/>
    </row>
    <row r="71" spans="2:14" ht="32.25" customHeight="1" x14ac:dyDescent="0.3">
      <c r="B71" s="218"/>
      <c r="C71" s="233"/>
      <c r="D71" s="233"/>
      <c r="E71" s="233"/>
      <c r="F71" s="233"/>
      <c r="G71" s="233"/>
      <c r="H71" s="233"/>
      <c r="I71" s="233"/>
      <c r="J71" s="233"/>
      <c r="K71" s="233"/>
      <c r="L71" s="233"/>
      <c r="M71" s="233"/>
      <c r="N71" s="126"/>
    </row>
    <row r="72" spans="2:14" ht="17.399999999999999" x14ac:dyDescent="0.3">
      <c r="B72" s="266" t="s">
        <v>262</v>
      </c>
      <c r="C72" s="267"/>
      <c r="D72" s="267"/>
      <c r="E72" s="267"/>
      <c r="F72" s="267"/>
      <c r="G72" s="267"/>
      <c r="H72" s="267"/>
      <c r="I72" s="267"/>
      <c r="J72" s="267"/>
      <c r="K72" s="267"/>
      <c r="L72" s="267"/>
      <c r="M72" s="267"/>
      <c r="N72" s="126"/>
    </row>
    <row r="73" spans="2:14" x14ac:dyDescent="0.3">
      <c r="B73" s="219"/>
      <c r="C73" s="232"/>
      <c r="D73" s="232"/>
      <c r="E73" s="232"/>
      <c r="F73" s="232"/>
      <c r="G73" s="232"/>
      <c r="H73" s="232"/>
      <c r="I73" s="232"/>
      <c r="J73" s="232"/>
      <c r="K73" s="232"/>
      <c r="L73" s="232"/>
      <c r="M73" s="232"/>
      <c r="N73" s="126"/>
    </row>
    <row r="74" spans="2:14" x14ac:dyDescent="0.3">
      <c r="B74" s="259" t="s">
        <v>181</v>
      </c>
      <c r="C74" s="260"/>
      <c r="D74" s="260"/>
      <c r="E74" s="260"/>
      <c r="F74" s="260"/>
      <c r="G74" s="260"/>
      <c r="H74" s="260"/>
      <c r="I74" s="260"/>
      <c r="J74" s="260"/>
      <c r="K74" s="260"/>
      <c r="L74" s="260"/>
      <c r="M74" s="260"/>
      <c r="N74" s="268"/>
    </row>
    <row r="75" spans="2:14" x14ac:dyDescent="0.3">
      <c r="B75" s="219" t="s">
        <v>263</v>
      </c>
      <c r="C75" s="232"/>
      <c r="D75" s="269" t="s">
        <v>140</v>
      </c>
      <c r="E75" s="269"/>
      <c r="F75" s="269"/>
      <c r="G75" s="269"/>
      <c r="H75" s="269"/>
      <c r="I75" s="269"/>
      <c r="J75" s="232"/>
      <c r="K75" s="232"/>
      <c r="L75" s="232"/>
      <c r="M75" s="232"/>
      <c r="N75" s="126"/>
    </row>
    <row r="76" spans="2:14" ht="27.75" customHeight="1" x14ac:dyDescent="0.3">
      <c r="B76" s="264" t="s">
        <v>165</v>
      </c>
      <c r="C76" s="265"/>
      <c r="D76" s="265"/>
      <c r="E76" s="265"/>
      <c r="F76" s="265"/>
      <c r="G76" s="265"/>
      <c r="H76" s="265"/>
      <c r="I76" s="265"/>
      <c r="J76" s="265"/>
      <c r="K76" s="265"/>
      <c r="L76" s="265"/>
      <c r="M76" s="265"/>
      <c r="N76" s="126"/>
    </row>
    <row r="77" spans="2:14" ht="29.25" customHeight="1" x14ac:dyDescent="0.3">
      <c r="B77" s="264" t="s">
        <v>166</v>
      </c>
      <c r="C77" s="265"/>
      <c r="D77" s="265"/>
      <c r="E77" s="265"/>
      <c r="F77" s="265"/>
      <c r="G77" s="265"/>
      <c r="H77" s="265"/>
      <c r="I77" s="265"/>
      <c r="J77" s="265"/>
      <c r="K77" s="265"/>
      <c r="L77" s="265"/>
      <c r="M77" s="265"/>
      <c r="N77" s="126"/>
    </row>
    <row r="78" spans="2:14" x14ac:dyDescent="0.3">
      <c r="B78" s="219" t="s">
        <v>167</v>
      </c>
      <c r="C78" s="232"/>
      <c r="D78" s="232"/>
      <c r="E78" s="232"/>
      <c r="F78" s="232"/>
      <c r="G78" s="232"/>
      <c r="H78" s="232"/>
      <c r="I78" s="232"/>
      <c r="J78" s="232"/>
      <c r="K78" s="232"/>
      <c r="L78" s="232"/>
      <c r="M78" s="232"/>
      <c r="N78" s="126"/>
    </row>
    <row r="79" spans="2:14" x14ac:dyDescent="0.3">
      <c r="B79" s="219"/>
      <c r="C79" s="232"/>
      <c r="D79" s="232"/>
      <c r="E79" s="232"/>
      <c r="F79" s="232"/>
      <c r="G79" s="232"/>
      <c r="H79" s="232"/>
      <c r="I79" s="232"/>
      <c r="J79" s="232"/>
      <c r="K79" s="232"/>
      <c r="L79" s="232"/>
      <c r="M79" s="232"/>
      <c r="N79" s="126"/>
    </row>
    <row r="80" spans="2:14" x14ac:dyDescent="0.3">
      <c r="B80" s="259" t="s">
        <v>204</v>
      </c>
      <c r="C80" s="260"/>
      <c r="D80" s="260"/>
      <c r="E80" s="260"/>
      <c r="F80" s="260"/>
      <c r="G80" s="260"/>
      <c r="H80" s="260"/>
      <c r="I80" s="260"/>
      <c r="J80" s="260"/>
      <c r="K80" s="260"/>
      <c r="L80" s="260"/>
      <c r="M80" s="260"/>
      <c r="N80" s="268"/>
    </row>
    <row r="81" spans="2:14" x14ac:dyDescent="0.3">
      <c r="B81" s="219" t="s">
        <v>264</v>
      </c>
      <c r="C81" s="232"/>
      <c r="D81" s="270" t="s">
        <v>141</v>
      </c>
      <c r="E81" s="270"/>
      <c r="F81" s="270"/>
      <c r="G81" s="270"/>
      <c r="H81" s="270"/>
      <c r="I81" s="232"/>
      <c r="J81" s="232"/>
      <c r="K81" s="232"/>
      <c r="L81" s="232"/>
      <c r="M81" s="232"/>
      <c r="N81" s="126"/>
    </row>
    <row r="82" spans="2:14" ht="58.5" customHeight="1" x14ac:dyDescent="0.3">
      <c r="B82" s="264" t="s">
        <v>168</v>
      </c>
      <c r="C82" s="265"/>
      <c r="D82" s="265"/>
      <c r="E82" s="265"/>
      <c r="F82" s="265"/>
      <c r="G82" s="265"/>
      <c r="H82" s="265"/>
      <c r="I82" s="265"/>
      <c r="J82" s="265"/>
      <c r="K82" s="265"/>
      <c r="L82" s="265"/>
      <c r="M82" s="265"/>
      <c r="N82" s="126"/>
    </row>
    <row r="83" spans="2:14" x14ac:dyDescent="0.3">
      <c r="B83" s="219" t="s">
        <v>169</v>
      </c>
      <c r="C83" s="232"/>
      <c r="D83" s="232"/>
      <c r="E83" s="232"/>
      <c r="F83" s="232"/>
      <c r="G83" s="232"/>
      <c r="H83" s="232"/>
      <c r="I83" s="232"/>
      <c r="J83" s="232"/>
      <c r="K83" s="232"/>
      <c r="L83" s="232"/>
      <c r="M83" s="232"/>
      <c r="N83" s="126"/>
    </row>
    <row r="84" spans="2:14" x14ac:dyDescent="0.3">
      <c r="B84" s="219" t="s">
        <v>170</v>
      </c>
      <c r="C84" s="232"/>
      <c r="D84" s="232"/>
      <c r="E84" s="232"/>
      <c r="F84" s="232"/>
      <c r="G84" s="232"/>
      <c r="H84" s="232"/>
      <c r="I84" s="232"/>
      <c r="J84" s="232"/>
      <c r="K84" s="232"/>
      <c r="L84" s="232"/>
      <c r="M84" s="232"/>
      <c r="N84" s="126"/>
    </row>
    <row r="85" spans="2:14" x14ac:dyDescent="0.3">
      <c r="B85" s="219"/>
      <c r="C85" s="232"/>
      <c r="D85" s="232"/>
      <c r="E85" s="232"/>
      <c r="F85" s="232"/>
      <c r="G85" s="232"/>
      <c r="H85" s="232"/>
      <c r="I85" s="232"/>
      <c r="J85" s="232"/>
      <c r="K85" s="232"/>
      <c r="L85" s="232"/>
      <c r="M85" s="232"/>
      <c r="N85" s="126"/>
    </row>
    <row r="86" spans="2:14" ht="31.5" customHeight="1" x14ac:dyDescent="0.3">
      <c r="B86" s="259" t="s">
        <v>182</v>
      </c>
      <c r="C86" s="260"/>
      <c r="D86" s="260"/>
      <c r="E86" s="260"/>
      <c r="F86" s="260"/>
      <c r="G86" s="260"/>
      <c r="H86" s="260"/>
      <c r="I86" s="260"/>
      <c r="J86" s="260"/>
      <c r="K86" s="260"/>
      <c r="L86" s="260"/>
      <c r="M86" s="260"/>
      <c r="N86" s="126"/>
    </row>
    <row r="87" spans="2:14" x14ac:dyDescent="0.3">
      <c r="B87" s="219" t="s">
        <v>263</v>
      </c>
      <c r="C87" s="232"/>
      <c r="D87" s="269" t="s">
        <v>226</v>
      </c>
      <c r="E87" s="269"/>
      <c r="F87" s="269"/>
      <c r="G87" s="269"/>
      <c r="H87" s="269"/>
      <c r="I87" s="232"/>
      <c r="J87" s="232"/>
      <c r="K87" s="232"/>
      <c r="L87" s="232"/>
      <c r="M87" s="232"/>
      <c r="N87" s="126"/>
    </row>
    <row r="88" spans="2:14" x14ac:dyDescent="0.3">
      <c r="B88" s="219" t="s">
        <v>218</v>
      </c>
      <c r="C88" s="232"/>
      <c r="D88" s="232"/>
      <c r="E88" s="232"/>
      <c r="F88" s="232"/>
      <c r="G88" s="232"/>
      <c r="H88" s="232"/>
      <c r="I88" s="232"/>
      <c r="J88" s="232"/>
      <c r="K88" s="232"/>
      <c r="L88" s="232"/>
      <c r="M88" s="232"/>
      <c r="N88" s="126"/>
    </row>
    <row r="89" spans="2:14" ht="28.5" customHeight="1" x14ac:dyDescent="0.3">
      <c r="B89" s="264" t="s">
        <v>171</v>
      </c>
      <c r="C89" s="265"/>
      <c r="D89" s="265"/>
      <c r="E89" s="265"/>
      <c r="F89" s="265"/>
      <c r="G89" s="265"/>
      <c r="H89" s="265"/>
      <c r="I89" s="265"/>
      <c r="J89" s="265"/>
      <c r="K89" s="265"/>
      <c r="L89" s="265"/>
      <c r="M89" s="265"/>
      <c r="N89" s="126"/>
    </row>
    <row r="90" spans="2:14" ht="30" customHeight="1" x14ac:dyDescent="0.3">
      <c r="B90" s="264" t="s">
        <v>172</v>
      </c>
      <c r="C90" s="265"/>
      <c r="D90" s="265"/>
      <c r="E90" s="265"/>
      <c r="F90" s="265"/>
      <c r="G90" s="265"/>
      <c r="H90" s="265"/>
      <c r="I90" s="265"/>
      <c r="J90" s="265"/>
      <c r="K90" s="265"/>
      <c r="L90" s="265"/>
      <c r="M90" s="265"/>
      <c r="N90" s="126"/>
    </row>
    <row r="91" spans="2:14" ht="33.75" customHeight="1" x14ac:dyDescent="0.3">
      <c r="B91" s="264" t="s">
        <v>173</v>
      </c>
      <c r="C91" s="265"/>
      <c r="D91" s="265"/>
      <c r="E91" s="265"/>
      <c r="F91" s="265"/>
      <c r="G91" s="265"/>
      <c r="H91" s="265"/>
      <c r="I91" s="265"/>
      <c r="J91" s="265"/>
      <c r="K91" s="265"/>
      <c r="L91" s="265"/>
      <c r="M91" s="265"/>
      <c r="N91" s="126"/>
    </row>
    <row r="92" spans="2:14" x14ac:dyDescent="0.3">
      <c r="B92" s="219"/>
      <c r="C92" s="232"/>
      <c r="D92" s="232"/>
      <c r="E92" s="232"/>
      <c r="F92" s="232"/>
      <c r="G92" s="232"/>
      <c r="H92" s="232"/>
      <c r="I92" s="232"/>
      <c r="J92" s="232"/>
      <c r="K92" s="232"/>
      <c r="L92" s="232"/>
      <c r="M92" s="232"/>
      <c r="N92" s="126"/>
    </row>
    <row r="93" spans="2:14" x14ac:dyDescent="0.3">
      <c r="B93" s="259" t="s">
        <v>183</v>
      </c>
      <c r="C93" s="260"/>
      <c r="D93" s="260"/>
      <c r="E93" s="260"/>
      <c r="F93" s="260"/>
      <c r="G93" s="260"/>
      <c r="H93" s="260"/>
      <c r="I93" s="260"/>
      <c r="J93" s="260"/>
      <c r="K93" s="260"/>
      <c r="L93" s="260"/>
      <c r="M93" s="260"/>
      <c r="N93" s="268"/>
    </row>
    <row r="94" spans="2:14" x14ac:dyDescent="0.3">
      <c r="B94" s="219" t="s">
        <v>265</v>
      </c>
      <c r="C94" s="232"/>
      <c r="D94" s="269" t="s">
        <v>142</v>
      </c>
      <c r="E94" s="269"/>
      <c r="F94" s="269"/>
      <c r="G94" s="269"/>
      <c r="H94" s="269"/>
      <c r="I94" s="269"/>
      <c r="J94" s="269"/>
      <c r="K94" s="232"/>
      <c r="L94" s="232"/>
      <c r="M94" s="232"/>
      <c r="N94" s="126"/>
    </row>
    <row r="95" spans="2:14" x14ac:dyDescent="0.3">
      <c r="B95" s="261" t="s">
        <v>174</v>
      </c>
      <c r="C95" s="262"/>
      <c r="D95" s="262"/>
      <c r="E95" s="262"/>
      <c r="F95" s="262"/>
      <c r="G95" s="262"/>
      <c r="H95" s="262"/>
      <c r="I95" s="262"/>
      <c r="J95" s="262"/>
      <c r="K95" s="262"/>
      <c r="L95" s="262"/>
      <c r="M95" s="262"/>
      <c r="N95" s="126"/>
    </row>
    <row r="96" spans="2:14" ht="18.75" customHeight="1" x14ac:dyDescent="0.3">
      <c r="B96" s="264" t="s">
        <v>206</v>
      </c>
      <c r="C96" s="265"/>
      <c r="D96" s="265"/>
      <c r="E96" s="265"/>
      <c r="F96" s="265"/>
      <c r="G96" s="265"/>
      <c r="H96" s="265"/>
      <c r="I96" s="265"/>
      <c r="J96" s="265"/>
      <c r="K96" s="265"/>
      <c r="L96" s="265"/>
      <c r="M96" s="265"/>
      <c r="N96" s="126"/>
    </row>
    <row r="97" spans="2:14" x14ac:dyDescent="0.3">
      <c r="B97" s="261" t="s">
        <v>175</v>
      </c>
      <c r="C97" s="262"/>
      <c r="D97" s="262"/>
      <c r="E97" s="262"/>
      <c r="F97" s="262"/>
      <c r="G97" s="262"/>
      <c r="H97" s="262"/>
      <c r="I97" s="262"/>
      <c r="J97" s="262"/>
      <c r="K97" s="262"/>
      <c r="L97" s="262"/>
      <c r="M97" s="262"/>
      <c r="N97" s="126"/>
    </row>
    <row r="98" spans="2:14" ht="15" thickBot="1" x14ac:dyDescent="0.35">
      <c r="B98" s="128"/>
      <c r="C98" s="129"/>
      <c r="D98" s="129"/>
      <c r="E98" s="129"/>
      <c r="F98" s="129"/>
      <c r="G98" s="129"/>
      <c r="H98" s="129"/>
      <c r="I98" s="129"/>
      <c r="J98" s="129"/>
      <c r="K98" s="129"/>
      <c r="L98" s="129"/>
      <c r="M98" s="129"/>
      <c r="N98" s="126"/>
    </row>
    <row r="99" spans="2:14" ht="15" thickTop="1" x14ac:dyDescent="0.3">
      <c r="B99" s="143"/>
      <c r="C99" s="234"/>
      <c r="D99" s="234"/>
      <c r="E99" s="234"/>
      <c r="F99" s="234"/>
      <c r="G99" s="234"/>
      <c r="H99" s="234"/>
      <c r="I99" s="234"/>
      <c r="J99" s="234"/>
      <c r="K99" s="234"/>
      <c r="L99" s="234"/>
      <c r="M99" s="234"/>
      <c r="N99" s="235"/>
    </row>
    <row r="100" spans="2:14" x14ac:dyDescent="0.3">
      <c r="B100" s="234"/>
      <c r="C100" s="234"/>
      <c r="D100" s="234"/>
      <c r="E100" s="234"/>
      <c r="F100" s="234"/>
      <c r="G100" s="234"/>
      <c r="H100" s="234"/>
      <c r="I100" s="234"/>
      <c r="J100" s="234"/>
      <c r="K100" s="234"/>
      <c r="L100" s="234"/>
      <c r="M100" s="234"/>
    </row>
    <row r="101" spans="2:14" x14ac:dyDescent="0.3">
      <c r="B101" s="234"/>
      <c r="C101" s="234"/>
      <c r="D101" s="234"/>
      <c r="E101" s="234"/>
      <c r="F101" s="234"/>
      <c r="G101" s="234"/>
      <c r="H101" s="234"/>
      <c r="I101" s="234"/>
      <c r="J101" s="234"/>
      <c r="K101" s="234"/>
      <c r="L101" s="234"/>
      <c r="M101" s="234"/>
    </row>
    <row r="102" spans="2:14" x14ac:dyDescent="0.3">
      <c r="B102" s="234"/>
      <c r="C102" s="234"/>
      <c r="D102" s="234"/>
      <c r="E102" s="234"/>
      <c r="F102" s="234"/>
      <c r="G102" s="234"/>
      <c r="H102" s="234"/>
      <c r="I102" s="234"/>
      <c r="J102" s="234"/>
      <c r="K102" s="234"/>
      <c r="L102" s="234"/>
      <c r="M102" s="234"/>
    </row>
    <row r="103" spans="2:14" x14ac:dyDescent="0.3">
      <c r="B103" s="234"/>
      <c r="C103" s="234"/>
      <c r="D103" s="234"/>
      <c r="E103" s="234"/>
      <c r="F103" s="234"/>
      <c r="G103" s="234"/>
      <c r="H103" s="234"/>
      <c r="I103" s="234"/>
      <c r="J103" s="234"/>
      <c r="K103" s="234"/>
      <c r="L103" s="234"/>
      <c r="M103" s="234"/>
    </row>
    <row r="104" spans="2:14" x14ac:dyDescent="0.3">
      <c r="B104" s="234"/>
      <c r="C104" s="234"/>
      <c r="D104" s="234"/>
      <c r="E104" s="234"/>
      <c r="F104" s="234"/>
      <c r="G104" s="234"/>
      <c r="H104" s="234"/>
      <c r="I104" s="234"/>
      <c r="J104" s="234"/>
      <c r="K104" s="234"/>
      <c r="L104" s="234"/>
      <c r="M104" s="234"/>
    </row>
    <row r="105" spans="2:14" x14ac:dyDescent="0.3">
      <c r="B105" s="234"/>
      <c r="C105" s="234"/>
      <c r="D105" s="234"/>
      <c r="E105" s="234"/>
      <c r="F105" s="234"/>
      <c r="G105" s="234"/>
      <c r="H105" s="234"/>
      <c r="I105" s="234"/>
      <c r="J105" s="234"/>
      <c r="K105" s="234"/>
      <c r="L105" s="234"/>
      <c r="M105" s="234"/>
    </row>
    <row r="106" spans="2:14" x14ac:dyDescent="0.3">
      <c r="B106" s="234"/>
      <c r="C106" s="234"/>
      <c r="D106" s="234"/>
      <c r="E106" s="234"/>
      <c r="F106" s="234"/>
      <c r="G106" s="234"/>
      <c r="H106" s="234"/>
      <c r="I106" s="234"/>
      <c r="J106" s="234"/>
      <c r="K106" s="234"/>
      <c r="L106" s="234"/>
      <c r="M106" s="234"/>
    </row>
    <row r="107" spans="2:14" x14ac:dyDescent="0.3">
      <c r="B107" s="234"/>
      <c r="C107" s="234"/>
      <c r="D107" s="234"/>
      <c r="E107" s="234"/>
      <c r="F107" s="234"/>
      <c r="G107" s="234"/>
      <c r="H107" s="234"/>
      <c r="I107" s="234"/>
      <c r="J107" s="234"/>
      <c r="K107" s="234"/>
      <c r="L107" s="234"/>
      <c r="M107" s="234"/>
    </row>
    <row r="108" spans="2:14" x14ac:dyDescent="0.3">
      <c r="B108" s="234"/>
      <c r="C108" s="234"/>
      <c r="D108" s="234"/>
      <c r="E108" s="234"/>
      <c r="F108" s="234"/>
      <c r="G108" s="234"/>
      <c r="H108" s="234"/>
      <c r="I108" s="234"/>
      <c r="J108" s="234"/>
      <c r="K108" s="234"/>
      <c r="L108" s="234"/>
      <c r="M108" s="234"/>
    </row>
    <row r="109" spans="2:14" x14ac:dyDescent="0.3">
      <c r="B109" s="234"/>
      <c r="C109" s="234"/>
      <c r="D109" s="234"/>
      <c r="E109" s="234"/>
      <c r="F109" s="234"/>
      <c r="G109" s="234"/>
      <c r="H109" s="234"/>
      <c r="I109" s="234"/>
      <c r="J109" s="234"/>
      <c r="K109" s="234"/>
      <c r="L109" s="234"/>
      <c r="M109" s="234"/>
    </row>
    <row r="110" spans="2:14" x14ac:dyDescent="0.3">
      <c r="B110" s="234"/>
      <c r="C110" s="234"/>
      <c r="D110" s="234"/>
      <c r="E110" s="234"/>
      <c r="F110" s="234"/>
      <c r="G110" s="234"/>
      <c r="H110" s="234"/>
      <c r="I110" s="234"/>
      <c r="J110" s="234"/>
      <c r="K110" s="234"/>
      <c r="L110" s="234"/>
      <c r="M110" s="234"/>
    </row>
    <row r="111" spans="2:14" x14ac:dyDescent="0.3">
      <c r="B111" s="234"/>
      <c r="C111" s="234"/>
      <c r="D111" s="234"/>
      <c r="E111" s="234"/>
      <c r="F111" s="234"/>
      <c r="G111" s="234"/>
      <c r="H111" s="234"/>
      <c r="I111" s="234"/>
      <c r="J111" s="234"/>
      <c r="K111" s="234"/>
      <c r="L111" s="234"/>
      <c r="M111" s="234"/>
    </row>
    <row r="112" spans="2:14" x14ac:dyDescent="0.3">
      <c r="B112" s="234"/>
      <c r="C112" s="234"/>
      <c r="D112" s="234"/>
      <c r="E112" s="234"/>
      <c r="F112" s="234"/>
      <c r="G112" s="234"/>
      <c r="H112" s="234"/>
      <c r="I112" s="234"/>
      <c r="J112" s="234"/>
      <c r="K112" s="234"/>
      <c r="L112" s="234"/>
      <c r="M112" s="234"/>
    </row>
    <row r="113" spans="2:13" x14ac:dyDescent="0.3">
      <c r="B113" s="234"/>
      <c r="C113" s="234"/>
      <c r="D113" s="234"/>
      <c r="E113" s="234"/>
      <c r="F113" s="234"/>
      <c r="G113" s="234"/>
      <c r="H113" s="234"/>
      <c r="I113" s="234"/>
      <c r="J113" s="234"/>
      <c r="K113" s="234"/>
      <c r="L113" s="234"/>
      <c r="M113" s="234"/>
    </row>
    <row r="114" spans="2:13" x14ac:dyDescent="0.3">
      <c r="B114" s="234"/>
      <c r="C114" s="234"/>
      <c r="D114" s="234"/>
      <c r="E114" s="234"/>
      <c r="F114" s="234"/>
      <c r="G114" s="234"/>
      <c r="H114" s="234"/>
      <c r="I114" s="234"/>
      <c r="J114" s="234"/>
      <c r="K114" s="234"/>
      <c r="L114" s="234"/>
      <c r="M114" s="234"/>
    </row>
    <row r="115" spans="2:13" x14ac:dyDescent="0.3">
      <c r="B115" s="234"/>
      <c r="C115" s="234"/>
      <c r="D115" s="234"/>
      <c r="E115" s="234"/>
      <c r="F115" s="234"/>
      <c r="G115" s="234"/>
      <c r="H115" s="234"/>
      <c r="I115" s="234"/>
      <c r="J115" s="234"/>
      <c r="K115" s="234"/>
      <c r="L115" s="234"/>
      <c r="M115" s="234"/>
    </row>
    <row r="116" spans="2:13" x14ac:dyDescent="0.3">
      <c r="B116" s="234"/>
      <c r="C116" s="234"/>
      <c r="D116" s="234"/>
      <c r="E116" s="234"/>
      <c r="F116" s="234"/>
      <c r="G116" s="234"/>
      <c r="H116" s="234"/>
      <c r="I116" s="234"/>
      <c r="J116" s="234"/>
      <c r="K116" s="234"/>
      <c r="L116" s="234"/>
      <c r="M116" s="234"/>
    </row>
    <row r="117" spans="2:13" x14ac:dyDescent="0.3">
      <c r="B117" s="234"/>
      <c r="C117" s="234"/>
      <c r="D117" s="234"/>
      <c r="E117" s="234"/>
      <c r="F117" s="234"/>
      <c r="G117" s="234"/>
      <c r="H117" s="234"/>
      <c r="I117" s="234"/>
      <c r="J117" s="234"/>
      <c r="K117" s="234"/>
      <c r="L117" s="234"/>
      <c r="M117" s="234"/>
    </row>
    <row r="118" spans="2:13" x14ac:dyDescent="0.3">
      <c r="B118" s="234"/>
      <c r="C118" s="234"/>
      <c r="D118" s="234"/>
      <c r="E118" s="234"/>
      <c r="F118" s="234"/>
      <c r="G118" s="234"/>
      <c r="H118" s="234"/>
      <c r="I118" s="234"/>
      <c r="J118" s="234"/>
      <c r="K118" s="234"/>
      <c r="L118" s="234"/>
      <c r="M118" s="234"/>
    </row>
    <row r="119" spans="2:13" x14ac:dyDescent="0.3">
      <c r="B119" s="234"/>
      <c r="C119" s="234"/>
      <c r="D119" s="234"/>
      <c r="E119" s="234"/>
      <c r="F119" s="234"/>
      <c r="G119" s="234"/>
      <c r="H119" s="234"/>
      <c r="I119" s="234"/>
      <c r="J119" s="234"/>
      <c r="K119" s="234"/>
      <c r="L119" s="234"/>
      <c r="M119" s="234"/>
    </row>
    <row r="120" spans="2:13" x14ac:dyDescent="0.3">
      <c r="B120" s="234"/>
      <c r="C120" s="234"/>
      <c r="D120" s="234"/>
      <c r="E120" s="234"/>
      <c r="F120" s="234"/>
      <c r="G120" s="234"/>
      <c r="H120" s="234"/>
      <c r="I120" s="234"/>
      <c r="J120" s="234"/>
      <c r="K120" s="234"/>
      <c r="L120" s="234"/>
      <c r="M120" s="234"/>
    </row>
    <row r="121" spans="2:13" x14ac:dyDescent="0.3">
      <c r="B121" s="234"/>
      <c r="C121" s="234"/>
      <c r="D121" s="234"/>
      <c r="E121" s="234"/>
      <c r="F121" s="234"/>
      <c r="G121" s="234"/>
      <c r="H121" s="234"/>
      <c r="I121" s="234"/>
      <c r="J121" s="234"/>
      <c r="K121" s="234"/>
      <c r="L121" s="234"/>
      <c r="M121" s="234"/>
    </row>
    <row r="122" spans="2:13" x14ac:dyDescent="0.3">
      <c r="B122" s="234"/>
      <c r="C122" s="234"/>
      <c r="D122" s="234"/>
      <c r="E122" s="234"/>
      <c r="F122" s="234"/>
      <c r="G122" s="234"/>
      <c r="H122" s="234"/>
      <c r="I122" s="234"/>
      <c r="J122" s="234"/>
      <c r="K122" s="234"/>
      <c r="L122" s="234"/>
      <c r="M122" s="234"/>
    </row>
    <row r="123" spans="2:13" x14ac:dyDescent="0.3">
      <c r="B123" s="234"/>
      <c r="C123" s="234"/>
      <c r="D123" s="234"/>
      <c r="E123" s="234"/>
      <c r="F123" s="234"/>
      <c r="G123" s="234"/>
      <c r="H123" s="234"/>
      <c r="I123" s="234"/>
      <c r="J123" s="234"/>
      <c r="K123" s="234"/>
      <c r="L123" s="234"/>
      <c r="M123" s="234"/>
    </row>
    <row r="124" spans="2:13" x14ac:dyDescent="0.3">
      <c r="B124" s="234"/>
      <c r="C124" s="234"/>
      <c r="D124" s="234"/>
      <c r="E124" s="234"/>
      <c r="F124" s="234"/>
      <c r="G124" s="234"/>
      <c r="H124" s="234"/>
      <c r="I124" s="234"/>
      <c r="J124" s="234"/>
      <c r="K124" s="234"/>
      <c r="L124" s="234"/>
      <c r="M124" s="234"/>
    </row>
    <row r="125" spans="2:13" x14ac:dyDescent="0.3">
      <c r="B125" s="234"/>
      <c r="C125" s="234"/>
      <c r="D125" s="234"/>
      <c r="E125" s="234"/>
      <c r="F125" s="234"/>
      <c r="G125" s="234"/>
      <c r="H125" s="234"/>
      <c r="I125" s="234"/>
      <c r="J125" s="234"/>
      <c r="K125" s="234"/>
      <c r="L125" s="234"/>
      <c r="M125" s="234"/>
    </row>
    <row r="126" spans="2:13" x14ac:dyDescent="0.3">
      <c r="B126" s="234"/>
      <c r="C126" s="234"/>
      <c r="D126" s="234"/>
      <c r="E126" s="234"/>
      <c r="F126" s="234"/>
      <c r="G126" s="234"/>
      <c r="H126" s="234"/>
      <c r="I126" s="234"/>
      <c r="J126" s="234"/>
      <c r="K126" s="234"/>
      <c r="L126" s="234"/>
      <c r="M126" s="234"/>
    </row>
    <row r="127" spans="2:13" x14ac:dyDescent="0.3">
      <c r="B127" s="234"/>
      <c r="C127" s="234"/>
      <c r="D127" s="234"/>
      <c r="E127" s="234"/>
      <c r="F127" s="234"/>
      <c r="G127" s="234"/>
      <c r="H127" s="234"/>
      <c r="I127" s="234"/>
      <c r="J127" s="234"/>
      <c r="K127" s="234"/>
      <c r="L127" s="234"/>
      <c r="M127" s="234"/>
    </row>
    <row r="128" spans="2:13" x14ac:dyDescent="0.3">
      <c r="B128" s="234"/>
      <c r="C128" s="234"/>
      <c r="D128" s="234"/>
      <c r="E128" s="234"/>
      <c r="F128" s="234"/>
      <c r="G128" s="234"/>
      <c r="H128" s="234"/>
      <c r="I128" s="234"/>
      <c r="J128" s="234"/>
      <c r="K128" s="234"/>
      <c r="L128" s="234"/>
      <c r="M128" s="234"/>
    </row>
    <row r="129" spans="2:13" x14ac:dyDescent="0.3">
      <c r="B129" s="234"/>
      <c r="C129" s="234"/>
      <c r="D129" s="234"/>
      <c r="E129" s="234"/>
      <c r="F129" s="234"/>
      <c r="G129" s="234"/>
      <c r="H129" s="234"/>
      <c r="I129" s="234"/>
      <c r="J129" s="234"/>
      <c r="K129" s="234"/>
      <c r="L129" s="234"/>
      <c r="M129" s="234"/>
    </row>
    <row r="130" spans="2:13" x14ac:dyDescent="0.3">
      <c r="B130" s="234"/>
      <c r="C130" s="234"/>
      <c r="D130" s="234"/>
      <c r="E130" s="234"/>
      <c r="F130" s="234"/>
      <c r="G130" s="234"/>
      <c r="H130" s="234"/>
      <c r="I130" s="234"/>
      <c r="J130" s="234"/>
      <c r="K130" s="234"/>
      <c r="L130" s="234"/>
      <c r="M130" s="234"/>
    </row>
    <row r="131" spans="2:13" x14ac:dyDescent="0.3">
      <c r="B131" s="234"/>
      <c r="C131" s="234"/>
      <c r="D131" s="234"/>
      <c r="E131" s="234"/>
      <c r="F131" s="234"/>
      <c r="G131" s="234"/>
      <c r="H131" s="234"/>
      <c r="I131" s="234"/>
      <c r="J131" s="234"/>
      <c r="K131" s="234"/>
      <c r="L131" s="234"/>
      <c r="M131" s="234"/>
    </row>
    <row r="132" spans="2:13" x14ac:dyDescent="0.3">
      <c r="B132" s="234"/>
      <c r="C132" s="234"/>
      <c r="D132" s="234"/>
      <c r="E132" s="234"/>
      <c r="F132" s="234"/>
      <c r="G132" s="234"/>
      <c r="H132" s="234"/>
      <c r="I132" s="234"/>
      <c r="J132" s="234"/>
      <c r="K132" s="234"/>
      <c r="L132" s="234"/>
      <c r="M132" s="234"/>
    </row>
    <row r="133" spans="2:13" x14ac:dyDescent="0.3">
      <c r="B133" s="234"/>
      <c r="C133" s="234"/>
      <c r="D133" s="234"/>
      <c r="E133" s="234"/>
      <c r="F133" s="234"/>
      <c r="G133" s="234"/>
      <c r="H133" s="234"/>
      <c r="I133" s="234"/>
      <c r="J133" s="234"/>
      <c r="K133" s="234"/>
      <c r="L133" s="234"/>
      <c r="M133" s="234"/>
    </row>
  </sheetData>
  <sheetProtection algorithmName="SHA-512" hashValue="BuawSoacQ1ZXSwG4ze6XKZcM435oKeQZX/vadVj80qBiPFFsh1ppscZl3EVW2JHUfIOOskocYi+Ut/hGl0T/MA==" saltValue="URO4vxNlUAezLUj9PqclCg==" spinCount="100000" sheet="1" objects="1" scenarios="1"/>
  <mergeCells count="40">
    <mergeCell ref="D94:J94"/>
    <mergeCell ref="B95:M95"/>
    <mergeCell ref="B96:M96"/>
    <mergeCell ref="B97:M97"/>
    <mergeCell ref="B86:M86"/>
    <mergeCell ref="D87:H87"/>
    <mergeCell ref="B89:M89"/>
    <mergeCell ref="B90:M90"/>
    <mergeCell ref="B91:M91"/>
    <mergeCell ref="B93:N93"/>
    <mergeCell ref="B82:M82"/>
    <mergeCell ref="B62:M62"/>
    <mergeCell ref="B63:M63"/>
    <mergeCell ref="B64:M64"/>
    <mergeCell ref="B66:M66"/>
    <mergeCell ref="B72:M72"/>
    <mergeCell ref="B74:N74"/>
    <mergeCell ref="D75:I75"/>
    <mergeCell ref="B76:M76"/>
    <mergeCell ref="B77:M77"/>
    <mergeCell ref="B80:N80"/>
    <mergeCell ref="D81:H81"/>
    <mergeCell ref="B61:M61"/>
    <mergeCell ref="B46:M46"/>
    <mergeCell ref="B47:M47"/>
    <mergeCell ref="B48:M48"/>
    <mergeCell ref="B49:M49"/>
    <mergeCell ref="B50:M50"/>
    <mergeCell ref="B51:M51"/>
    <mergeCell ref="B52:M52"/>
    <mergeCell ref="B53:M53"/>
    <mergeCell ref="B54:M54"/>
    <mergeCell ref="B56:M56"/>
    <mergeCell ref="B58:M58"/>
    <mergeCell ref="B44:M44"/>
    <mergeCell ref="B3:N5"/>
    <mergeCell ref="B7:M7"/>
    <mergeCell ref="B27:M27"/>
    <mergeCell ref="B37:M37"/>
    <mergeCell ref="B40:M40"/>
  </mergeCells>
  <hyperlinks>
    <hyperlink ref="D75" r:id="rId1" xr:uid="{0F379F11-63E3-4870-ACA5-69C0322F2926}"/>
    <hyperlink ref="D81" r:id="rId2" location="." xr:uid="{F0DEED5B-2C4A-4A48-8D5C-59C13A5DE753}"/>
    <hyperlink ref="D94" r:id="rId3" xr:uid="{0965E932-FE3F-4F8D-A8EC-0E63EE22C121}"/>
    <hyperlink ref="D87" r:id="rId4" xr:uid="{37D24D84-07D7-4B01-8C3A-3B198D3FFC17}"/>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0F8E3-DC30-4251-8DB2-7803AADAE64F}">
  <dimension ref="A2:N16"/>
  <sheetViews>
    <sheetView showRowColHeaders="0" zoomScaleNormal="100" workbookViewId="0">
      <selection activeCell="D7" sqref="D7:K7"/>
    </sheetView>
  </sheetViews>
  <sheetFormatPr defaultColWidth="9.109375" defaultRowHeight="14.4" x14ac:dyDescent="0.3"/>
  <cols>
    <col min="1" max="1" width="9.109375" style="141"/>
    <col min="2" max="2" width="3.6640625" style="141" customWidth="1"/>
    <col min="3" max="3" width="30.5546875" style="141" customWidth="1"/>
    <col min="4" max="4" width="11.33203125" style="141" bestFit="1" customWidth="1"/>
    <col min="5" max="10" width="9.109375" style="141"/>
    <col min="11" max="11" width="10.33203125" style="141" customWidth="1"/>
    <col min="12" max="12" width="4.109375" style="141" customWidth="1"/>
    <col min="13" max="16384" width="9.109375" style="141"/>
  </cols>
  <sheetData>
    <row r="2" spans="1:14" ht="15" thickBot="1" x14ac:dyDescent="0.35"/>
    <row r="3" spans="1:14" ht="15.75" customHeight="1" thickTop="1" x14ac:dyDescent="0.3">
      <c r="B3" s="238" t="s">
        <v>220</v>
      </c>
      <c r="C3" s="239"/>
      <c r="D3" s="239"/>
      <c r="E3" s="239"/>
      <c r="F3" s="239"/>
      <c r="G3" s="239"/>
      <c r="H3" s="239"/>
      <c r="I3" s="239"/>
      <c r="J3" s="239"/>
      <c r="K3" s="239"/>
      <c r="L3" s="240"/>
    </row>
    <row r="4" spans="1:14" ht="15" customHeight="1" x14ac:dyDescent="0.3">
      <c r="B4" s="241"/>
      <c r="C4" s="271"/>
      <c r="D4" s="271"/>
      <c r="E4" s="271"/>
      <c r="F4" s="271"/>
      <c r="G4" s="271"/>
      <c r="H4" s="271"/>
      <c r="I4" s="271"/>
      <c r="J4" s="271"/>
      <c r="K4" s="271"/>
      <c r="L4" s="243"/>
    </row>
    <row r="5" spans="1:14" ht="15" customHeight="1" x14ac:dyDescent="0.3">
      <c r="B5" s="241"/>
      <c r="C5" s="271"/>
      <c r="D5" s="271"/>
      <c r="E5" s="271"/>
      <c r="F5" s="271"/>
      <c r="G5" s="271"/>
      <c r="H5" s="271"/>
      <c r="I5" s="271"/>
      <c r="J5" s="271"/>
      <c r="K5" s="271"/>
      <c r="L5" s="243"/>
    </row>
    <row r="6" spans="1:14" ht="21" customHeight="1" x14ac:dyDescent="0.3">
      <c r="B6" s="136"/>
      <c r="C6" s="149"/>
      <c r="D6" s="149"/>
      <c r="E6" s="149"/>
      <c r="F6" s="149"/>
      <c r="G6" s="149"/>
      <c r="H6" s="149"/>
      <c r="I6" s="149"/>
      <c r="J6" s="149"/>
      <c r="K6" s="149"/>
      <c r="L6" s="126"/>
    </row>
    <row r="7" spans="1:14" ht="18.600000000000001" thickBot="1" x14ac:dyDescent="0.35">
      <c r="A7" s="144"/>
      <c r="B7" s="136"/>
      <c r="C7" s="71" t="s">
        <v>133</v>
      </c>
      <c r="D7" s="272"/>
      <c r="E7" s="272"/>
      <c r="F7" s="272"/>
      <c r="G7" s="272"/>
      <c r="H7" s="272"/>
      <c r="I7" s="272"/>
      <c r="J7" s="272"/>
      <c r="K7" s="272"/>
      <c r="L7" s="151"/>
      <c r="M7" s="146"/>
      <c r="N7" s="144"/>
    </row>
    <row r="8" spans="1:14" ht="35.25" customHeight="1" thickBot="1" x14ac:dyDescent="0.35">
      <c r="A8" s="144"/>
      <c r="B8" s="136"/>
      <c r="C8" s="56" t="s">
        <v>69</v>
      </c>
      <c r="D8" s="273"/>
      <c r="E8" s="273"/>
      <c r="F8" s="273"/>
      <c r="G8" s="273"/>
      <c r="H8" s="273"/>
      <c r="I8" s="273"/>
      <c r="J8" s="273"/>
      <c r="K8" s="273"/>
      <c r="L8" s="150"/>
      <c r="M8" s="144"/>
    </row>
    <row r="9" spans="1:14" ht="39.75" customHeight="1" thickBot="1" x14ac:dyDescent="0.35">
      <c r="A9" s="144"/>
      <c r="B9" s="136"/>
      <c r="C9" s="154" t="s">
        <v>67</v>
      </c>
      <c r="D9" s="273"/>
      <c r="E9" s="273"/>
      <c r="F9" s="273"/>
      <c r="G9" s="273"/>
      <c r="H9" s="273"/>
      <c r="I9" s="273"/>
      <c r="J9" s="273"/>
      <c r="K9" s="273"/>
      <c r="L9" s="152"/>
    </row>
    <row r="10" spans="1:14" ht="97.5" customHeight="1" x14ac:dyDescent="0.3">
      <c r="A10" s="144"/>
      <c r="B10" s="136"/>
      <c r="C10" s="155" t="s">
        <v>68</v>
      </c>
      <c r="D10" s="274"/>
      <c r="E10" s="274"/>
      <c r="F10" s="274"/>
      <c r="G10" s="274"/>
      <c r="H10" s="274"/>
      <c r="I10" s="274"/>
      <c r="J10" s="274"/>
      <c r="K10" s="274"/>
      <c r="L10" s="152"/>
    </row>
    <row r="11" spans="1:14" ht="18.75" customHeight="1" thickBot="1" x14ac:dyDescent="0.35">
      <c r="A11" s="144"/>
      <c r="B11" s="153"/>
      <c r="C11" s="139"/>
      <c r="D11" s="139"/>
      <c r="E11" s="139"/>
      <c r="F11" s="139"/>
      <c r="G11" s="139"/>
      <c r="H11" s="139"/>
      <c r="I11" s="139"/>
      <c r="J11" s="139"/>
      <c r="K11" s="139"/>
      <c r="L11" s="140"/>
    </row>
    <row r="12" spans="1:14" ht="15" thickTop="1" x14ac:dyDescent="0.3">
      <c r="A12" s="144"/>
      <c r="B12" s="144"/>
      <c r="C12" s="144"/>
      <c r="D12" s="144"/>
      <c r="E12" s="144"/>
      <c r="F12" s="144"/>
    </row>
    <row r="13" spans="1:14" x14ac:dyDescent="0.3">
      <c r="A13" s="144"/>
      <c r="B13" s="144"/>
      <c r="C13" s="144"/>
      <c r="D13" s="144"/>
      <c r="E13" s="144"/>
      <c r="F13" s="144"/>
    </row>
    <row r="14" spans="1:14" x14ac:dyDescent="0.3">
      <c r="A14" s="144"/>
      <c r="B14" s="144"/>
      <c r="C14" s="144"/>
      <c r="D14" s="144"/>
      <c r="E14" s="144"/>
      <c r="F14" s="144"/>
    </row>
    <row r="15" spans="1:14" x14ac:dyDescent="0.3">
      <c r="A15" s="144"/>
      <c r="B15" s="144"/>
      <c r="C15" s="144"/>
      <c r="D15" s="144"/>
      <c r="E15" s="144"/>
      <c r="F15" s="144"/>
    </row>
    <row r="16" spans="1:14" x14ac:dyDescent="0.3">
      <c r="A16" s="144"/>
      <c r="B16" s="144"/>
      <c r="C16" s="144"/>
      <c r="D16" s="144"/>
      <c r="E16" s="144"/>
      <c r="F16" s="144"/>
    </row>
  </sheetData>
  <sheetProtection algorithmName="SHA-512" hashValue="xI9250URArJH/rcQT6jTUv5CfghlaV6/bcjE9sYs16iVNr2eVX8xgKWw3Sq3umUbsw5WPjXyPPqkBNqEqQFwXw==" saltValue="8DOgWusx3CCkT26XUt+Tjw==" spinCount="100000" sheet="1" objects="1" scenarios="1"/>
  <protectedRanges>
    <protectedRange algorithmName="SHA-512" hashValue="SHG10UZqZcCCj1TlE0oMrNwpbuNqhSNbZCwxpw++PI3Kxkmq2fWr9Ho16Rbx5ot4bT8+4oJGur23Sg/eixRu2g==" saltValue="jl/WveE0aj4CwYBOiCOlBg==" spinCount="100000" sqref="D7:K10" name="Range1"/>
  </protectedRanges>
  <mergeCells count="5">
    <mergeCell ref="B3:L5"/>
    <mergeCell ref="D7:K7"/>
    <mergeCell ref="D8:K8"/>
    <mergeCell ref="D9:K9"/>
    <mergeCell ref="D10:K1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5EC83-D5C1-4D5C-99F6-1378213F0706}">
  <dimension ref="A3:N37"/>
  <sheetViews>
    <sheetView showRowColHeaders="0" zoomScaleNormal="100" workbookViewId="0">
      <selection activeCell="D9" sqref="D9"/>
    </sheetView>
  </sheetViews>
  <sheetFormatPr defaultColWidth="9.109375" defaultRowHeight="14.4" x14ac:dyDescent="0.3"/>
  <cols>
    <col min="1" max="1" width="9.33203125" style="162" customWidth="1"/>
    <col min="2" max="2" width="4.88671875" style="162" customWidth="1"/>
    <col min="3" max="3" width="33.33203125" style="162" customWidth="1"/>
    <col min="4" max="4" width="26.88671875" style="162" customWidth="1"/>
    <col min="5" max="5" width="11.44140625" style="162" customWidth="1"/>
    <col min="6" max="6" width="14.33203125" style="162" customWidth="1"/>
    <col min="7" max="7" width="33.33203125" style="162" customWidth="1"/>
    <col min="8" max="8" width="14.109375" style="162" customWidth="1"/>
    <col min="9" max="9" width="9" style="162" customWidth="1"/>
    <col min="10" max="10" width="2" style="162" customWidth="1"/>
    <col min="11" max="11" width="7.109375" style="162" customWidth="1"/>
    <col min="12" max="16384" width="9.109375" style="162"/>
  </cols>
  <sheetData>
    <row r="3" spans="1:12" x14ac:dyDescent="0.3">
      <c r="A3" s="167"/>
      <c r="B3" s="275" t="s">
        <v>195</v>
      </c>
      <c r="C3" s="276"/>
      <c r="D3" s="276"/>
      <c r="E3" s="276"/>
      <c r="F3" s="276"/>
      <c r="G3" s="276"/>
      <c r="H3" s="276"/>
      <c r="I3" s="276"/>
      <c r="J3" s="277"/>
    </row>
    <row r="4" spans="1:12" x14ac:dyDescent="0.3">
      <c r="A4" s="167"/>
      <c r="B4" s="275"/>
      <c r="C4" s="276"/>
      <c r="D4" s="276"/>
      <c r="E4" s="276"/>
      <c r="F4" s="276"/>
      <c r="G4" s="276"/>
      <c r="H4" s="276"/>
      <c r="I4" s="276"/>
      <c r="J4" s="277"/>
    </row>
    <row r="5" spans="1:12" x14ac:dyDescent="0.3">
      <c r="A5" s="167"/>
      <c r="B5" s="275"/>
      <c r="C5" s="276"/>
      <c r="D5" s="276"/>
      <c r="E5" s="276"/>
      <c r="F5" s="276"/>
      <c r="G5" s="276"/>
      <c r="H5" s="276"/>
      <c r="I5" s="276"/>
      <c r="J5" s="277"/>
      <c r="K5" s="163"/>
      <c r="L5" s="163"/>
    </row>
    <row r="6" spans="1:12" ht="18" x14ac:dyDescent="0.3">
      <c r="A6" s="167"/>
      <c r="B6" s="4"/>
      <c r="C6" s="1"/>
      <c r="D6" s="1"/>
      <c r="E6" s="1"/>
      <c r="F6" s="1"/>
      <c r="G6" s="1"/>
      <c r="H6" s="1"/>
      <c r="I6" s="1"/>
      <c r="J6" s="126"/>
      <c r="L6" s="164"/>
    </row>
    <row r="7" spans="1:12" ht="18" customHeight="1" x14ac:dyDescent="0.5">
      <c r="A7" s="167"/>
      <c r="B7" s="4"/>
      <c r="C7" s="280" t="s">
        <v>194</v>
      </c>
      <c r="D7" s="280"/>
      <c r="E7" s="1"/>
      <c r="F7" s="1"/>
      <c r="G7" s="5"/>
      <c r="H7" s="6"/>
      <c r="I7" s="6"/>
      <c r="J7" s="156"/>
      <c r="L7" s="165"/>
    </row>
    <row r="8" spans="1:12" ht="12" customHeight="1" x14ac:dyDescent="0.5">
      <c r="A8" s="167"/>
      <c r="B8" s="4"/>
      <c r="C8" s="1"/>
      <c r="D8" s="1"/>
      <c r="E8" s="1"/>
      <c r="F8" s="1"/>
      <c r="G8" s="3"/>
      <c r="H8" s="3"/>
      <c r="I8" s="3"/>
      <c r="J8" s="157"/>
      <c r="L8" s="165"/>
    </row>
    <row r="9" spans="1:12" ht="22.5" customHeight="1" thickBot="1" x14ac:dyDescent="0.55000000000000004">
      <c r="A9" s="167"/>
      <c r="B9" s="4"/>
      <c r="C9" s="69" t="s">
        <v>71</v>
      </c>
      <c r="D9" s="112"/>
      <c r="E9" s="1"/>
      <c r="F9" s="1"/>
      <c r="G9" s="1"/>
      <c r="H9" s="81"/>
      <c r="I9" s="3"/>
      <c r="J9" s="157"/>
      <c r="L9" s="165"/>
    </row>
    <row r="10" spans="1:12" ht="21" customHeight="1" thickBot="1" x14ac:dyDescent="0.55000000000000004">
      <c r="A10" s="167"/>
      <c r="B10" s="4"/>
      <c r="C10" s="68" t="s">
        <v>72</v>
      </c>
      <c r="D10" s="113">
        <v>2.4</v>
      </c>
      <c r="E10" s="7"/>
      <c r="F10" s="7"/>
      <c r="G10" s="279" t="str">
        <f>IFERROR(IF(AND($D$9&lt;DATE(2025,1,1),OR((VLOOKUP($D$13,Lookups!$C$8:$G$35,2,FALSE))&gt;(VLOOKUP($D$13,Lookups!$C$8:$G$35,4,FALSE)),(VLOOKUP($D$13,Lookups!$C$8:$G$35,3,FALSE))&gt;(VLOOKUP($D$13,Lookups!$C$8:$G$35,5,FALSE)))),"A nutrient permit is changing for the selected WwTW as of 01/01/2025. Therefore, two nutrient budgets will be calculated for the loading before and after the 2025 WwTW permit upgrade.",""),"")</f>
        <v/>
      </c>
      <c r="H10" s="81"/>
      <c r="I10" s="3"/>
      <c r="J10" s="157"/>
      <c r="K10" s="164"/>
      <c r="L10" s="166"/>
    </row>
    <row r="11" spans="1:12" ht="30.75" customHeight="1" thickBot="1" x14ac:dyDescent="0.35">
      <c r="A11" s="167"/>
      <c r="B11" s="4"/>
      <c r="C11" s="68" t="s">
        <v>96</v>
      </c>
      <c r="D11" s="114">
        <v>120</v>
      </c>
      <c r="E11" s="8"/>
      <c r="F11" s="8"/>
      <c r="G11" s="279"/>
      <c r="H11" s="81"/>
      <c r="I11" s="8"/>
      <c r="J11" s="150"/>
      <c r="K11" s="165"/>
      <c r="L11" s="166"/>
    </row>
    <row r="12" spans="1:12" ht="36" customHeight="1" thickBot="1" x14ac:dyDescent="0.35">
      <c r="A12" s="167"/>
      <c r="B12" s="1"/>
      <c r="C12" s="68" t="s">
        <v>266</v>
      </c>
      <c r="D12" s="115"/>
      <c r="E12" s="9"/>
      <c r="F12" s="9"/>
      <c r="G12" s="279"/>
      <c r="H12" s="81"/>
      <c r="I12" s="9"/>
      <c r="J12" s="152"/>
      <c r="K12" s="166"/>
    </row>
    <row r="13" spans="1:12" ht="50.25" customHeight="1" thickBot="1" x14ac:dyDescent="0.35">
      <c r="A13" s="167"/>
      <c r="B13" s="1"/>
      <c r="C13" s="70" t="s">
        <v>208</v>
      </c>
      <c r="D13" s="116"/>
      <c r="E13" s="9"/>
      <c r="F13" s="1"/>
      <c r="G13" s="279"/>
      <c r="H13" s="81"/>
      <c r="I13" s="9"/>
      <c r="J13" s="152"/>
      <c r="K13" s="166"/>
    </row>
    <row r="14" spans="1:12" ht="50.25" customHeight="1" x14ac:dyDescent="0.3">
      <c r="A14" s="167"/>
      <c r="B14" s="1"/>
      <c r="C14" s="31" t="s">
        <v>207</v>
      </c>
      <c r="D14" s="201" t="str">
        <f>(IFERROR(IF(OR(D13="Package Treatment Plant user defined",D13="Septic Tank user defined"),"Please enter value in cell to the right:",IF('Stage 1'!D9&lt;DATE(2025,1,1),VLOOKUP('Stage 1'!D13,Lookups!C8:G38,2,FALSE),VLOOKUP('Stage 1'!D13,Lookups!C8:G37,4,FALSE))),""))</f>
        <v/>
      </c>
      <c r="E14" s="117"/>
      <c r="F14" s="82" t="str">
        <f>IFERROR(IF(AND($D$9&lt;DATE(2025,1,1),(VLOOKUP($D$13,Lookups!$C$8:$G$35,2,FALSE))&gt;(VLOOKUP($D$13,Lookups!$C$8:$G$35,4,FALSE))), "Post 2025 WwTW P permit:",""),"")</f>
        <v/>
      </c>
      <c r="G14" s="84" t="str">
        <f>IFERROR(IF(AND($D$9&lt;DATE(2025,1,1),(VLOOKUP($D$13,Lookups!$C$8:$G$35,2,FALSE))&gt;(VLOOKUP($D$13,Lookups!$C$8:$G$35,4,FALSE))), VLOOKUP('Stage 1'!D13,Lookups!C8:G38,4,FALSE),""),"")</f>
        <v/>
      </c>
      <c r="H14" s="26" t="str">
        <f>IFERROR(IF(AND($D$9&lt;DATE(2025,1,1),(VLOOKUP($D$13,Lookups!$C$8:$G$35,2,FALSE))&gt;(VLOOKUP($D$13,Lookups!$C$8:$G$35,4,FALSE))), "mg TP/litre",""),"")</f>
        <v/>
      </c>
      <c r="I14" s="9"/>
      <c r="J14" s="126"/>
      <c r="K14" s="166"/>
    </row>
    <row r="15" spans="1:12" ht="50.25" hidden="1" customHeight="1" x14ac:dyDescent="0.3">
      <c r="A15" s="167"/>
      <c r="B15" s="1"/>
      <c r="C15" s="67" t="s">
        <v>209</v>
      </c>
      <c r="D15" s="80" t="str">
        <f>IFERROR(IF(OR(D13="Package Treatment Plant user defined",D13="Septic Tank user defined"),"Please enter value in cell to the right:",IF('Stage 1'!D9&lt;DATE(2025,1,1),VLOOKUP('Stage 1'!D13,Lookups!C8:G38, 3,FALSE), VLOOKUP('Stage 1'!D13,Lookups!C8:G37, 5,FALSE))),"")</f>
        <v/>
      </c>
      <c r="E15" s="117"/>
      <c r="F15" s="83" t="str">
        <f>IFERROR(IF(AND($D$9&lt;DATE(2025,1,1),(VLOOKUP($D$13,Lookups!$C$8:$G$35,3,FALSE))&gt;(VLOOKUP($D$13,Lookups!$C$8:$G$35,5,FALSE))), "Post 2025 WwTW N permit:",""),"")</f>
        <v/>
      </c>
      <c r="G15" s="84" t="str">
        <f>IFERROR(IF(AND($D$9&lt;DATE(2025,1,1),(VLOOKUP($D$13,Lookups!$C$8:$G$35,3,FALSE))&gt;(VLOOKUP($D$13,Lookups!$C$8:$G$35,5,FALSE))), VLOOKUP('Stage 1'!D13,Lookups!$C$8:$G$38,5,FALSE),""),"")</f>
        <v/>
      </c>
      <c r="H15" s="26" t="str">
        <f>IFERROR(IF(AND($D$9&lt;DATE(2025,1,1),(VLOOKUP($D$13,Lookups!$C$8:$G$35,3,FALSE))&gt;(VLOOKUP($D$13,Lookups!$C$8:$G$35,5,FALSE))), "mg TN/litre",""),"")</f>
        <v/>
      </c>
      <c r="I15" s="9"/>
      <c r="J15" s="152"/>
      <c r="K15" s="166"/>
    </row>
    <row r="16" spans="1:12" ht="18" customHeight="1" x14ac:dyDescent="0.3">
      <c r="A16" s="167"/>
      <c r="B16" s="1"/>
      <c r="C16" s="1"/>
      <c r="D16" s="4"/>
      <c r="E16" s="1"/>
      <c r="F16" s="1"/>
      <c r="G16" s="1"/>
      <c r="H16" s="1"/>
      <c r="I16" s="1"/>
      <c r="J16" s="126"/>
    </row>
    <row r="17" spans="1:14" ht="17.399999999999999" x14ac:dyDescent="0.3">
      <c r="A17" s="167"/>
      <c r="B17" s="1"/>
      <c r="C17" s="280" t="s">
        <v>193</v>
      </c>
      <c r="D17" s="280"/>
      <c r="E17" s="1"/>
      <c r="F17" s="1"/>
      <c r="G17" s="1"/>
      <c r="H17" s="1"/>
      <c r="I17" s="1"/>
      <c r="J17" s="126"/>
    </row>
    <row r="18" spans="1:14" x14ac:dyDescent="0.3">
      <c r="A18" s="167"/>
      <c r="B18" s="1"/>
      <c r="C18" s="1"/>
      <c r="D18" s="1"/>
      <c r="E18" s="1"/>
      <c r="F18" s="1"/>
      <c r="G18" s="1"/>
      <c r="H18" s="1"/>
      <c r="I18" s="1"/>
      <c r="J18" s="158"/>
    </row>
    <row r="19" spans="1:14" ht="3.75" customHeight="1" x14ac:dyDescent="0.3">
      <c r="A19" s="167"/>
      <c r="B19" s="1"/>
      <c r="C19" s="1"/>
      <c r="D19" s="1"/>
      <c r="E19" s="1"/>
      <c r="F19" s="1"/>
      <c r="G19" s="1"/>
      <c r="H19" s="1"/>
      <c r="I19" s="1"/>
      <c r="J19" s="158"/>
      <c r="N19" s="162" t="s">
        <v>134</v>
      </c>
    </row>
    <row r="20" spans="1:14" ht="15.6" x14ac:dyDescent="0.3">
      <c r="A20" s="167"/>
      <c r="B20" s="1"/>
      <c r="C20" s="278" t="str">
        <f>IFERROR(IF(AND($D$9&lt;DATE(2025,1,1),OR((VLOOKUP($D$13,Lookups!$C$8:$G$35,2,FALSE))&gt;(VLOOKUP($D$13,Lookups!$C$8:$G$35,4,FALSE)),(VLOOKUP($D$13,Lookups!$C$8:$G$35,3,FALSE))&gt;(VLOOKUP($D$13,Lookups!$C$8:$G$35,5,FALSE)))),"Post-2025 Stage 1 Nutrient Loading","Stage 1 Nutrient Loading"),"")</f>
        <v/>
      </c>
      <c r="D20" s="278"/>
      <c r="E20" s="1"/>
      <c r="F20" s="1"/>
      <c r="G20" s="278" t="str">
        <f>IFERROR(IF(AND($D$9&lt;DATE(2025,1,1),OR((VLOOKUP($D$13,Lookups!$C$8:$G$35,2,FALSE))&gt;(VLOOKUP($D$13,Lookups!$C$8:$G$35,4,FALSE)),(VLOOKUP($D$13,Lookups!$C$8:$G$35,3,FALSE))&gt;(VLOOKUP($D$13,Lookups!$C$8:$G$35,5,FALSE)))),"Pre-2025 Stage 1 Nutrient Loading",""),"")</f>
        <v/>
      </c>
      <c r="H20" s="278"/>
      <c r="I20" s="1"/>
      <c r="J20" s="126"/>
    </row>
    <row r="21" spans="1:14" x14ac:dyDescent="0.3">
      <c r="A21" s="167"/>
      <c r="B21" s="1"/>
      <c r="C21" s="1"/>
      <c r="D21" s="1"/>
      <c r="E21" s="1"/>
      <c r="F21" s="1"/>
      <c r="G21" s="1"/>
      <c r="H21" s="1"/>
      <c r="I21" s="1"/>
      <c r="J21" s="158"/>
    </row>
    <row r="22" spans="1:14" ht="17.399999999999999" thickBot="1" x14ac:dyDescent="0.45">
      <c r="A22" s="167"/>
      <c r="B22" s="1"/>
      <c r="C22" s="58" t="s">
        <v>73</v>
      </c>
      <c r="D22" s="59" t="str">
        <f>IF(ISBLANK(D12),"",D10*D12)</f>
        <v/>
      </c>
      <c r="E22" s="28" t="s">
        <v>137</v>
      </c>
      <c r="F22" s="1"/>
      <c r="G22" s="20" t="str">
        <f>IFERROR(IF(AND($D$9&lt;DATE(2025,1,1),OR((VLOOKUP($D$13,Lookups!$C$8:$G$35,2,FALSE))&gt;(VLOOKUP($D$13,Lookups!$C$8:$G$35,4,FALSE)),(VLOOKUP($D$13,Lookups!$C$8:$G$35,3,FALSE))&gt;(VLOOKUP($D$13,Lookups!$C$8:$G$35,5,FALSE)))),"Annual wastewater TP load:",""),"")</f>
        <v/>
      </c>
      <c r="H22" s="204" t="str">
        <f>IFERROR(IF(AND($D$9&lt;DATE(2025,1,1),OR((VLOOKUP($D$13,Lookups!$C$8:$G$35,2,FALSE))&gt;(VLOOKUP($D$13,Lookups!$C$8:$G$35,4,FALSE)),(VLOOKUP($D$13,Lookups!$C$8:$G$35,3,FALSE))&gt;(VLOOKUP($D$13,Lookups!$C$8:$G$35,5,FALSE)))),IF(D14=8,(D14*D$23)/1000000*365.25,(D14*D$23*0.9)/1000000*365.25),""),"")</f>
        <v/>
      </c>
      <c r="I22" s="28" t="str">
        <f>IFERROR(IF(AND($D$9&lt;DATE(2025,1,1),OR((VLOOKUP($D$13,Lookups!$C$8:$G$35,2,FALSE))&gt;(VLOOKUP($D$13,Lookups!$C$8:$G$35,4,FALSE)),(VLOOKUP($D$13,Lookups!$C$8:$G$35,3,FALSE))&gt;(VLOOKUP($D$13,Lookups!$C$8:$G$35,5,FALSE)))),"kg TP/yr",""),"")</f>
        <v/>
      </c>
      <c r="J22" s="159"/>
    </row>
    <row r="23" spans="1:14" ht="15" thickBot="1" x14ac:dyDescent="0.35">
      <c r="A23" s="167"/>
      <c r="B23" s="1"/>
      <c r="C23" s="27" t="s">
        <v>74</v>
      </c>
      <c r="D23" s="57" t="str">
        <f>IFERROR(D22*D11,"")</f>
        <v/>
      </c>
      <c r="E23" s="28" t="s">
        <v>75</v>
      </c>
      <c r="F23" s="1"/>
      <c r="G23" s="202"/>
      <c r="H23" s="202"/>
      <c r="I23" s="202"/>
      <c r="J23" s="126"/>
    </row>
    <row r="24" spans="1:14" hidden="1" x14ac:dyDescent="0.3">
      <c r="A24" s="167"/>
      <c r="B24" s="1"/>
      <c r="C24" s="1"/>
      <c r="D24" s="1"/>
      <c r="E24" s="85"/>
      <c r="F24" s="1"/>
      <c r="G24" s="1"/>
      <c r="H24" s="1"/>
      <c r="I24" s="85"/>
      <c r="J24" s="126"/>
    </row>
    <row r="25" spans="1:14" hidden="1" x14ac:dyDescent="0.3">
      <c r="A25" s="167"/>
      <c r="B25" s="1"/>
      <c r="C25" s="4"/>
      <c r="D25" s="4"/>
      <c r="E25" s="85"/>
      <c r="F25" s="1"/>
      <c r="G25" s="88"/>
      <c r="H25" s="88"/>
      <c r="I25" s="89"/>
      <c r="J25" s="160"/>
      <c r="K25" s="163"/>
    </row>
    <row r="26" spans="1:14" ht="15" hidden="1" thickBot="1" x14ac:dyDescent="0.35">
      <c r="A26" s="167"/>
      <c r="B26" s="1"/>
      <c r="C26" s="58" t="s">
        <v>76</v>
      </c>
      <c r="D26" s="59" t="str">
        <f>IFERROR(IF(ISNUMBER(G14),G14*D23*0.9,IF(D14="Please enter value in cell to the right:",IF(AND(D14="Please enter value in cell to the right:",ISNUMBER(E14)),D23*E14, VLOOKUP((LEFT(D13,(LEN(D13)-13))&amp;" default"),Lookups!C34:E35,2,FALSE)*D23),IF(OR(D13="Package Treatment Plant default",D13="Septic Tank default"),D14*D23,IF(D14=8,D14*D23,D14*D23*0.9)))),"")</f>
        <v/>
      </c>
      <c r="E26" s="28" t="s">
        <v>77</v>
      </c>
      <c r="F26" s="1"/>
      <c r="G26" s="90"/>
      <c r="H26" s="88"/>
      <c r="I26" s="88"/>
      <c r="J26" s="161"/>
      <c r="K26" s="163"/>
    </row>
    <row r="27" spans="1:14" ht="15" hidden="1" thickBot="1" x14ac:dyDescent="0.35">
      <c r="A27" s="167"/>
      <c r="B27" s="1"/>
      <c r="C27" s="27" t="s">
        <v>78</v>
      </c>
      <c r="D27" s="57" t="str">
        <f>IFERROR($D$26/1000000,"")</f>
        <v/>
      </c>
      <c r="E27" s="28" t="s">
        <v>79</v>
      </c>
      <c r="F27" s="1"/>
      <c r="G27" s="90"/>
      <c r="H27" s="94"/>
      <c r="I27" s="91"/>
      <c r="J27" s="161"/>
      <c r="K27" s="163"/>
    </row>
    <row r="28" spans="1:14" ht="15" hidden="1" thickBot="1" x14ac:dyDescent="0.35">
      <c r="A28" s="167"/>
      <c r="B28" s="1"/>
      <c r="C28" s="60" t="s">
        <v>80</v>
      </c>
      <c r="D28" s="62" t="str">
        <f>IFERROR($D$27*365.25,"")</f>
        <v/>
      </c>
      <c r="E28" s="28" t="s">
        <v>81</v>
      </c>
      <c r="F28" s="1"/>
      <c r="G28" s="90"/>
      <c r="H28" s="95"/>
      <c r="I28" s="91"/>
      <c r="J28" s="161"/>
      <c r="K28" s="163"/>
    </row>
    <row r="29" spans="1:14" x14ac:dyDescent="0.3">
      <c r="A29" s="167"/>
      <c r="B29" s="1"/>
      <c r="C29" s="61" t="s">
        <v>135</v>
      </c>
      <c r="D29" s="63" t="str">
        <f>D28</f>
        <v/>
      </c>
      <c r="E29" s="86" t="s">
        <v>81</v>
      </c>
      <c r="F29" s="1"/>
      <c r="G29" s="92"/>
      <c r="H29" s="96"/>
      <c r="I29" s="93"/>
      <c r="J29" s="161"/>
      <c r="K29" s="163"/>
    </row>
    <row r="30" spans="1:14" hidden="1" x14ac:dyDescent="0.3">
      <c r="A30" s="167"/>
      <c r="B30" s="1"/>
      <c r="C30" s="1"/>
      <c r="D30" s="1"/>
      <c r="E30" s="85"/>
      <c r="F30" s="1"/>
      <c r="G30" s="88"/>
      <c r="H30" s="88"/>
      <c r="I30" s="89"/>
      <c r="J30" s="161"/>
      <c r="K30" s="163"/>
    </row>
    <row r="31" spans="1:14" hidden="1" x14ac:dyDescent="0.3">
      <c r="A31" s="167"/>
      <c r="B31" s="1"/>
      <c r="C31" s="1"/>
      <c r="D31" s="1"/>
      <c r="E31" s="85"/>
      <c r="F31" s="1"/>
      <c r="G31" s="88"/>
      <c r="H31" s="88"/>
      <c r="I31" s="89"/>
      <c r="J31" s="161"/>
      <c r="K31" s="163"/>
    </row>
    <row r="32" spans="1:14" ht="15" hidden="1" thickBot="1" x14ac:dyDescent="0.35">
      <c r="A32" s="167"/>
      <c r="B32" s="1"/>
      <c r="C32" s="27" t="s">
        <v>101</v>
      </c>
      <c r="D32" s="57" t="str">
        <f>IFERROR(IF(ISNUMBER(G15),G15*D23*0.9,IF(D15="Please enter value in cell to the right:",IF(AND(D15="Please enter value in cell to the right:",ISNUMBER(E15)),D23*E15, VLOOKUP((LEFT(D13,(LEN(D13)-13))&amp;" default"),Lookups!C34:E35,3,FALSE)*D23),IF(OR(D13="Package Treatment Plant default",D13="Septic Tank default"),D15*D23,IF(D15=27,D15*D23,D15*D23*0.9)))),"")</f>
        <v/>
      </c>
      <c r="E32" s="28" t="s">
        <v>102</v>
      </c>
      <c r="F32" s="1"/>
      <c r="G32" s="90"/>
      <c r="H32" s="94"/>
      <c r="I32" s="91"/>
      <c r="J32" s="161"/>
      <c r="K32" s="163"/>
    </row>
    <row r="33" spans="1:11" ht="15" hidden="1" thickBot="1" x14ac:dyDescent="0.35">
      <c r="A33" s="167"/>
      <c r="B33" s="1"/>
      <c r="C33" s="64" t="s">
        <v>105</v>
      </c>
      <c r="D33" s="65" t="str">
        <f>IFERROR($D$32/1000000,"")</f>
        <v/>
      </c>
      <c r="E33" s="28" t="s">
        <v>103</v>
      </c>
      <c r="F33" s="1"/>
      <c r="G33" s="90"/>
      <c r="H33" s="94"/>
      <c r="I33" s="91"/>
      <c r="J33" s="161"/>
      <c r="K33" s="163"/>
    </row>
    <row r="34" spans="1:11" ht="15" hidden="1" thickBot="1" x14ac:dyDescent="0.35">
      <c r="A34" s="167"/>
      <c r="B34" s="1"/>
      <c r="C34" s="210" t="s">
        <v>106</v>
      </c>
      <c r="D34" s="211" t="str">
        <f>IFERROR($D$33*365.25,"")</f>
        <v/>
      </c>
      <c r="E34" s="212" t="s">
        <v>104</v>
      </c>
      <c r="F34" s="1"/>
      <c r="G34" s="90"/>
      <c r="H34" s="95"/>
      <c r="I34" s="91"/>
      <c r="J34" s="161"/>
      <c r="K34" s="163"/>
    </row>
    <row r="35" spans="1:11" hidden="1" x14ac:dyDescent="0.3">
      <c r="A35" s="167"/>
      <c r="B35" s="1"/>
      <c r="C35" s="213" t="s">
        <v>136</v>
      </c>
      <c r="D35" s="214" t="str">
        <f>D34</f>
        <v/>
      </c>
      <c r="E35" s="213" t="s">
        <v>104</v>
      </c>
      <c r="F35" s="1"/>
      <c r="G35" s="20" t="str">
        <f>IFERROR(IF(AND($D$9&lt;DATE(2025,1,1),OR((VLOOKUP($D$13,Lookups!$C$8:$G$35,2,FALSE))&gt;(VLOOKUP($D$13,Lookups!$C$8:$G$35,4,FALSE)),(VLOOKUP($D$13,Lookups!$C$8:$G$35,3,FALSE))&gt;(VLOOKUP($D$13,Lookups!$C$8:$G$35,5,FALSE)))),"Annual wastewater TN load:",""),"")</f>
        <v/>
      </c>
      <c r="H35" s="21" t="str">
        <f>IFERROR(IF(AND($D$9&lt;DATE(2025,1,1),OR((VLOOKUP($D$13,Lookups!$C$8:$G$35,2,FALSE))&gt;(VLOOKUP($D$13,Lookups!$C$8:$G$35,4,FALSE)),(VLOOKUP($D$13,Lookups!$C$8:$G$35,3,FALSE))&gt;(VLOOKUP($D$13,Lookups!$C$8:$G$35,5,FALSE)))),(D15*D$23*0.9)/1000000*365.25,""),"")</f>
        <v/>
      </c>
      <c r="I35" s="28" t="str">
        <f>IFERROR(IF(AND($D$9&lt;DATE(2025,1,1),OR((VLOOKUP($D$13,Lookups!$C$8:$G$35,2,FALSE))&gt;(VLOOKUP($D$13,Lookups!$C$8:$G$35,4,FALSE)),(VLOOKUP($D$13,Lookups!$C$8:$G$35,3,FALSE))&gt;(VLOOKUP($D$13,Lookups!$C$8:$G$35,5,FALSE)))),"kg TN/yr",""),"")</f>
        <v/>
      </c>
      <c r="J35" s="161"/>
      <c r="K35" s="163"/>
    </row>
    <row r="36" spans="1:11" ht="15" thickBot="1" x14ac:dyDescent="0.35">
      <c r="A36" s="167"/>
      <c r="B36" s="153"/>
      <c r="C36" s="139"/>
      <c r="D36" s="139"/>
      <c r="E36" s="139"/>
      <c r="F36" s="139"/>
      <c r="G36" s="139"/>
      <c r="H36" s="139"/>
      <c r="I36" s="139"/>
      <c r="J36" s="140"/>
    </row>
    <row r="37" spans="1:11" ht="15" thickTop="1" x14ac:dyDescent="0.3"/>
  </sheetData>
  <sheetProtection algorithmName="SHA-512" hashValue="bwI6tsNDzWVWAbAlPFZ7X8sJDUcIaa1cw1JYTA8K7YAjGcvRubKMELRwZjtqudRTpYx23EdAm7zOAvoW2T+2eA==" saltValue="hAdWzh55aBSBPmcKluqkow==" spinCount="100000" sheet="1" selectLockedCells="1"/>
  <protectedRanges>
    <protectedRange algorithmName="SHA-512" hashValue="9eFLYwbQxhpezS4HULhG7iBaGmH5LoseTU2XnhelcWF+/l82pYUC3srt3byn/vuneXy5XFyZVPQbagh6SLqRzQ==" saltValue="CEix3VmL8kRrd4op8qAhjg==" spinCount="100000" sqref="E14:E15 D9:D13" name="Range1"/>
  </protectedRanges>
  <mergeCells count="6">
    <mergeCell ref="B3:J5"/>
    <mergeCell ref="C20:D20"/>
    <mergeCell ref="G20:H20"/>
    <mergeCell ref="G10:G13"/>
    <mergeCell ref="C17:D17"/>
    <mergeCell ref="C7:D7"/>
  </mergeCells>
  <conditionalFormatting sqref="E14:E15">
    <cfRule type="expression" dxfId="9" priority="10">
      <formula>OR(ISNUMBER($D$15),ISBLANK($D$13))</formula>
    </cfRule>
    <cfRule type="expression" dxfId="8" priority="11">
      <formula>($D$15="Please enter value in cell to the right:")</formula>
    </cfRule>
  </conditionalFormatting>
  <conditionalFormatting sqref="G14">
    <cfRule type="expression" dxfId="7" priority="5">
      <formula>ISNUMBER($G$14)</formula>
    </cfRule>
  </conditionalFormatting>
  <conditionalFormatting sqref="G10 H9:H15">
    <cfRule type="expression" dxfId="6" priority="12">
      <formula>_xlfn.ISFORMULA($G$10)</formula>
    </cfRule>
    <cfRule type="expression" dxfId="5" priority="13">
      <formula>ISTEXT($G$10)</formula>
    </cfRule>
  </conditionalFormatting>
  <conditionalFormatting sqref="G15">
    <cfRule type="expression" dxfId="4" priority="4">
      <formula>ISNUMBER($G$15)</formula>
    </cfRule>
  </conditionalFormatting>
  <conditionalFormatting sqref="H22">
    <cfRule type="expression" dxfId="3" priority="2">
      <formula>ISNUMBER($H$22)</formula>
    </cfRule>
  </conditionalFormatting>
  <conditionalFormatting sqref="H35">
    <cfRule type="expression" dxfId="2" priority="1">
      <formula>ISNUMBER(H35)</formula>
    </cfRule>
  </conditionalFormatting>
  <dataValidations count="4">
    <dataValidation type="date" operator="greaterThan" allowBlank="1" showInputMessage="1" showErrorMessage="1" errorTitle="Date Error" error="Please enter a date after 01/01/2022 date in correct dd/mm/yyyy format." prompt="Enter date as dd/mm/yyyy format. " sqref="D9" xr:uid="{515E4566-AFB5-4866-94DE-CB431AAF4C1A}">
      <formula1>44562</formula1>
    </dataValidation>
    <dataValidation type="decimal" operator="greaterThan" showInputMessage="1" showErrorMessage="1" prompt="The average occupancy rate (people per dwelling/unit) should not be edited unless there is sufficient evidence." sqref="D10" xr:uid="{31DEF3BB-E2E5-4E5C-BF5A-2425D3EB9410}">
      <formula1>0</formula1>
    </dataValidation>
    <dataValidation type="whole" operator="greaterThan" showInputMessage="1" showErrorMessage="1" errorTitle="Water usage:" error="Please enter a whole number in litres/person/day" prompt="Keep as 120 unless other efficiency measures are used. " sqref="D11" xr:uid="{A8EA6526-60C6-4C2D-9A44-9CEB14D43876}">
      <formula1>0</formula1>
    </dataValidation>
    <dataValidation type="whole" operator="greaterThan" allowBlank="1" showInputMessage="1" showErrorMessage="1" errorTitle="Development proposal" error="Please ensure that the total number of dwellings is entered as a whole number" prompt="Please enter the total number of dwellings/units that will be within the development site as of the project completion date." sqref="D12" xr:uid="{87F490E9-C1CC-4992-A666-0F3B65B428BF}">
      <formula1>0</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76E0497B-089C-459A-B2E2-C8A2AF71C14C}">
          <x14:formula1>
            <xm:f>'C:\Users\DS56\OneDrive - Ricardo Plc\NE NN\[Copy of Herefordshire Council Phosphate Budget Calculator_Final.xlsx]Stage 2 and 3 lookups'!#REF!</xm:f>
          </x14:formula1>
          <xm:sqref>J8:J10</xm:sqref>
        </x14:dataValidation>
        <x14:dataValidation type="list" allowBlank="1" showInputMessage="1" showErrorMessage="1" xr:uid="{2060F248-1654-4F8C-B1B2-CB874E476D6E}">
          <x14:formula1>
            <xm:f>Lookups!$C$8:$C$37</xm:f>
          </x14:formula1>
          <xm:sqref>D13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8DE7-889B-4390-AD2D-86928A13748B}">
  <dimension ref="A3:J34"/>
  <sheetViews>
    <sheetView showRowColHeaders="0" zoomScaleNormal="100" workbookViewId="0">
      <selection activeCell="C15" sqref="C15:D15"/>
    </sheetView>
  </sheetViews>
  <sheetFormatPr defaultColWidth="9.109375" defaultRowHeight="14.4" x14ac:dyDescent="0.3"/>
  <cols>
    <col min="1" max="1" width="9.109375" style="141"/>
    <col min="2" max="2" width="4.6640625" style="141" customWidth="1"/>
    <col min="3" max="3" width="32.109375" style="141" customWidth="1"/>
    <col min="4" max="4" width="8.44140625" style="141" bestFit="1" customWidth="1"/>
    <col min="5" max="5" width="21.109375" style="141" customWidth="1"/>
    <col min="6" max="6" width="17.6640625" style="141" hidden="1" customWidth="1"/>
    <col min="7" max="7" width="5.44140625" style="141" customWidth="1"/>
    <col min="8" max="8" width="8.109375" style="141" customWidth="1"/>
    <col min="9" max="9" width="9.109375" style="141" customWidth="1"/>
    <col min="10" max="10" width="26.109375" style="141" customWidth="1"/>
    <col min="11" max="16384" width="9.109375" style="141"/>
  </cols>
  <sheetData>
    <row r="3" spans="1:10" x14ac:dyDescent="0.3">
      <c r="A3" s="142"/>
      <c r="B3" s="275" t="s">
        <v>198</v>
      </c>
      <c r="C3" s="284"/>
      <c r="D3" s="284"/>
      <c r="E3" s="284"/>
      <c r="F3" s="284"/>
      <c r="G3" s="277"/>
    </row>
    <row r="4" spans="1:10" x14ac:dyDescent="0.3">
      <c r="A4" s="142"/>
      <c r="B4" s="275"/>
      <c r="C4" s="284"/>
      <c r="D4" s="284"/>
      <c r="E4" s="284"/>
      <c r="F4" s="284"/>
      <c r="G4" s="277"/>
    </row>
    <row r="5" spans="1:10" x14ac:dyDescent="0.3">
      <c r="A5" s="142"/>
      <c r="B5" s="275"/>
      <c r="C5" s="284"/>
      <c r="D5" s="284"/>
      <c r="E5" s="284"/>
      <c r="F5" s="284"/>
      <c r="G5" s="277"/>
    </row>
    <row r="6" spans="1:10" ht="18" x14ac:dyDescent="0.3">
      <c r="A6" s="142"/>
      <c r="B6" s="4"/>
      <c r="C6" s="1"/>
      <c r="D6" s="1"/>
      <c r="E6" s="1"/>
      <c r="F6" s="1"/>
      <c r="G6" s="151"/>
    </row>
    <row r="7" spans="1:10" ht="18" customHeight="1" x14ac:dyDescent="0.3">
      <c r="A7" s="142"/>
      <c r="B7" s="4"/>
      <c r="C7" s="285" t="s">
        <v>194</v>
      </c>
      <c r="D7" s="285"/>
      <c r="E7" s="285"/>
      <c r="F7" s="285"/>
      <c r="G7" s="150"/>
    </row>
    <row r="8" spans="1:10" ht="12" customHeight="1" x14ac:dyDescent="0.3">
      <c r="A8" s="142"/>
      <c r="B8" s="4"/>
      <c r="C8" s="1"/>
      <c r="D8" s="1"/>
      <c r="E8" s="1"/>
      <c r="F8" s="1"/>
      <c r="G8" s="150"/>
    </row>
    <row r="9" spans="1:10" ht="18.600000000000001" thickBot="1" x14ac:dyDescent="0.35">
      <c r="A9" s="142"/>
      <c r="B9" s="4"/>
      <c r="C9" s="282" t="s">
        <v>70</v>
      </c>
      <c r="D9" s="282"/>
      <c r="E9" s="105"/>
      <c r="F9" s="1"/>
      <c r="G9" s="150"/>
    </row>
    <row r="10" spans="1:10" ht="18.600000000000001" thickBot="1" x14ac:dyDescent="0.35">
      <c r="A10" s="142"/>
      <c r="B10" s="4"/>
      <c r="C10" s="283" t="s">
        <v>82</v>
      </c>
      <c r="D10" s="283"/>
      <c r="E10" s="106"/>
      <c r="F10" s="1"/>
      <c r="G10" s="152"/>
    </row>
    <row r="11" spans="1:10" ht="18.600000000000001" thickBot="1" x14ac:dyDescent="0.35">
      <c r="A11" s="142"/>
      <c r="B11" s="4"/>
      <c r="C11" s="283" t="s">
        <v>210</v>
      </c>
      <c r="D11" s="283"/>
      <c r="E11" s="107"/>
      <c r="F11" s="1"/>
      <c r="G11" s="152"/>
    </row>
    <row r="12" spans="1:10" x14ac:dyDescent="0.3">
      <c r="A12" s="142"/>
      <c r="B12" s="1"/>
      <c r="C12" s="281" t="s">
        <v>211</v>
      </c>
      <c r="D12" s="281"/>
      <c r="E12" s="108"/>
      <c r="F12" s="1"/>
      <c r="G12" s="126"/>
    </row>
    <row r="13" spans="1:10" x14ac:dyDescent="0.3">
      <c r="A13" s="142"/>
      <c r="B13" s="1"/>
      <c r="C13" s="1"/>
      <c r="D13" s="1"/>
      <c r="E13" s="1"/>
      <c r="F13" s="1"/>
      <c r="G13" s="126"/>
    </row>
    <row r="14" spans="1:10" ht="63" customHeight="1" thickBot="1" x14ac:dyDescent="0.35">
      <c r="A14" s="142"/>
      <c r="B14" s="1"/>
      <c r="C14" s="73" t="s">
        <v>144</v>
      </c>
      <c r="D14" s="74" t="s">
        <v>97</v>
      </c>
      <c r="E14" s="196" t="s">
        <v>196</v>
      </c>
      <c r="F14" s="75" t="s">
        <v>197</v>
      </c>
      <c r="G14" s="126"/>
    </row>
    <row r="15" spans="1:10" x14ac:dyDescent="0.3">
      <c r="A15" s="142"/>
      <c r="B15" s="1"/>
      <c r="C15" s="109"/>
      <c r="D15" s="187"/>
      <c r="E15" s="198" t="str">
        <f>IF(OR(ISBLANK($C15),ISBLANK($D15),ISBLANK($E$10),ISBLANK($E$11)),"",IFERROR($D15*VLOOKUP((IF(OR($C15="Residential urban land",$C15="Commercial/industrial urban land",$C15="Open urban land",$C15="Greenspace",$C15="Community food growing",$C15="Woodland",$C15="Shrub", $C15="Water"), "|||"&amp;$C15, (VLOOKUP('Stage 2'!$E$9,Lookups!$C$330:$D$330,2,FALSE)&amp;"|"&amp;$C15&amp;"|"&amp;VLOOKUP('Stage 2'!$E$12,Lookups!$C$344:$D$345,2,FALSE)&amp;"|"&amp;VLOOKUP('Stage 2'!$E$11,Lookups!$C$304:$E$326,3,FALSE)&amp;"|"&amp;VLOOKUP($E$10,Lookups!$C$335:$D$340,2,FALSE)))),Lookups!$H$41:$J$300,2,FALSE),
IFERROR(IFERROR($D15*VLOOKUP($C15&amp;"|"&amp;VLOOKUP('Stage 2'!$E$12,Lookups!$C$344:$D$345,2,FALSE)&amp;"|"&amp;VLOOKUP('Stage 2'!$E$11,Lookups!$C$304:$E$326,3,FALSE)&amp;"|"&amp;VLOOKUP($E$10,Lookups!$C$335:$D$340,2,FALSE),Lookups!$H$41:$J$300,2,FALSE),IFERROR($D15*VLOOKUP($C15&amp;"|"&amp;"TRUE"&amp;"|"&amp;VLOOKUP('Stage 2'!$E$11,Lookups!$C$304:$E$326,3,FALSE)&amp;"|"&amp;VLOOKUP($E$10,Lookups!$C$335:$D$340,2,FALSE),Lookups!$H$41:$J$300,2,FALSE),$D15*VLOOKUP($C15&amp;"|"&amp;VLOOKUP('Stage 2'!$E$12,Lookups!$C$344:$D$345,2,FALSE)&amp;"|"&amp;VLOOKUP('Stage 2'!$E$11,Lookups!$C$304:$E$326,3,FALSE)&amp;"|"&amp;"DrainedArGr",Lookups!$H$41:$J$300,2,FALSE))),IFERROR($D15*VLOOKUP($C15&amp;"|"&amp;VLOOKUP('Stage 2'!$E$11,Lookups!$C$304:$E$326,3,FALSE),Lookups!$K$41:$M$292,2,FALSE),$D15*VLOOKUP($C15,Lookups!$D$41:$O$292,11,FALSE)))))</f>
        <v/>
      </c>
      <c r="F15" s="186" t="str">
        <f>IF(OR(ISBLANK($C15),ISBLANK($D15),ISBLANK($E$10),ISBLANK($E$11)),"",IFERROR($D15*VLOOKUP((IF(OR($C15="Residential urban land",$C15="Commercial/industrial urban land",$C15="Open urban land",$C15="Greenspace",$C15="Community food growing",$C15="Woodland",$C15="Shrub", $C15="Water"), "|||"&amp;$C15, (VLOOKUP('Stage 2'!$E$9,Lookups!$C$330:$D$330,2,FALSE)&amp;"|"&amp;$C15&amp;"|"&amp;VLOOKUP('Stage 2'!$E$12,Lookups!$C$344:$D$345,2,FALSE)&amp;"|"&amp;VLOOKUP('Stage 2'!$E$11,Lookups!$C$304:$E$326,3,FALSE)&amp;"|"&amp;VLOOKUP($E$10,Lookups!$C$335:$D$340,2,FALSE)))),Lookups!$H$41:$J$300,3,FALSE),
IFERROR(IFERROR($D15*VLOOKUP($C15&amp;"|"&amp;VLOOKUP('Stage 2'!$E$12,Lookups!$C$344:$D$345,2,FALSE)&amp;"|"&amp;VLOOKUP('Stage 2'!$E$11,Lookups!$C$304:$E$326,3,FALSE)&amp;"|"&amp;VLOOKUP($E$10,Lookups!$C$335:$D$340,2,FALSE),Lookups!$H$41:$J$300,3,FALSE),IFERROR($D15*VLOOKUP($C15&amp;"|"&amp;"TRUE"&amp;"|"&amp;VLOOKUP('Stage 2'!$E$11,Lookups!$C$304:$E$326,3,FALSE)&amp;"|"&amp;VLOOKUP($E$10,Lookups!$C$335:$D$340,2,FALSE),Lookups!$H$41:$J$300,3,FALSE),$D15*VLOOKUP($C15&amp;"|"&amp;VLOOKUP('Stage 2'!$E$12,Lookups!$C$344:$D$345,2,FALSE)&amp;"|"&amp;VLOOKUP('Stage 2'!$E$11,Lookups!$C$304:$E$326,3,FALSE)&amp;"|"&amp;"DrainedArGr",Lookups!$H$41:$J$300,3,FALSE))),IFERROR($D15*VLOOKUP($C15&amp;"|"&amp;VLOOKUP('Stage 2'!$E$11,Lookups!$C$304:$E$326,3,FALSE),Lookups!$K$41:$M$292,3,FALSE),$D15*VLOOKUP($C15,Lookups!$D$41:$O$292,12,FALSE)))))</f>
        <v/>
      </c>
      <c r="G15" s="168"/>
      <c r="H15" s="169"/>
      <c r="I15" s="169"/>
      <c r="J15" s="169"/>
    </row>
    <row r="16" spans="1:10" x14ac:dyDescent="0.3">
      <c r="A16" s="142"/>
      <c r="B16" s="1"/>
      <c r="C16" s="109"/>
      <c r="D16" s="110"/>
      <c r="E16" s="199" t="str">
        <f>IF(OR(ISBLANK($C16),ISBLANK($D16),ISBLANK($E$10),ISBLANK($E$11)),"",IFERROR($D16*VLOOKUP((IF(OR($C16="Residential urban land",$C16="Commercial/industrial urban land",$C16="Open urban land",$C16="Greenspace",$C16="Community food growing",$C16="Woodland",$C16="Shrub", $C16="Water"), "|||"&amp;$C16, (VLOOKUP('Stage 2'!$E$9,Lookups!$C$330:$D$330,2,FALSE)&amp;"|"&amp;$C16&amp;"|"&amp;VLOOKUP('Stage 2'!$E$12,Lookups!$C$344:$D$345,2,FALSE)&amp;"|"&amp;VLOOKUP('Stage 2'!$E$11,Lookups!$C$304:$E$326,3,FALSE)&amp;"|"&amp;VLOOKUP($E$10,Lookups!$C$335:$D$340,2,FALSE)))),Lookups!$H$41:$J$300,2,FALSE),
IFERROR(IFERROR($D16*VLOOKUP($C16&amp;"|"&amp;VLOOKUP('Stage 2'!$E$12,Lookups!$C$344:$D$345,2,FALSE)&amp;"|"&amp;VLOOKUP('Stage 2'!$E$11,Lookups!$C$304:$E$326,3,FALSE)&amp;"|"&amp;VLOOKUP($E$10,Lookups!$C$335:$D$340,2,FALSE),Lookups!$H$41:$J$300,2,FALSE),IFERROR($D16*VLOOKUP($C16&amp;"|"&amp;"TRUE"&amp;"|"&amp;VLOOKUP('Stage 2'!$E$11,Lookups!$C$304:$E$326,3,FALSE)&amp;"|"&amp;VLOOKUP($E$10,Lookups!$C$335:$D$340,2,FALSE),Lookups!$H$41:$J$300,2,FALSE),$D16*VLOOKUP($C16&amp;"|"&amp;VLOOKUP('Stage 2'!$E$12,Lookups!$C$344:$D$345,2,FALSE)&amp;"|"&amp;VLOOKUP('Stage 2'!$E$11,Lookups!$C$304:$E$326,3,FALSE)&amp;"|"&amp;"DrainedArGr",Lookups!$H$41:$J$300,2,FALSE))),IFERROR($D16*VLOOKUP($C16&amp;"|"&amp;VLOOKUP('Stage 2'!$E$11,Lookups!$C$304:$E$326,3,FALSE),Lookups!$K$41:$M$292,2,FALSE),$D16*VLOOKUP($C16,Lookups!$D$41:$O$292,11,FALSE)))))</f>
        <v/>
      </c>
      <c r="F16" s="186" t="str">
        <f>IF(OR(ISBLANK($C16),ISBLANK($D16),ISBLANK($E$10),ISBLANK($E$11)),"",IFERROR($D16*VLOOKUP((IF(OR($C16="Residential urban land",$C16="Commercial/industrial urban land",$C16="Open urban land",$C16="Greenspace",$C16="Community food growing",$C16="Woodland",$C16="Shrub", $C16="Water"), "|||"&amp;$C16, (VLOOKUP('Stage 2'!$E$9,Lookups!$C$330:$D$330,2,FALSE)&amp;"|"&amp;$C16&amp;"|"&amp;VLOOKUP('Stage 2'!$E$12,Lookups!$C$344:$D$345,2,FALSE)&amp;"|"&amp;VLOOKUP('Stage 2'!$E$11,Lookups!$C$304:$E$326,3,FALSE)&amp;"|"&amp;VLOOKUP($E$10,Lookups!$C$335:$D$340,2,FALSE)))),Lookups!$H$41:$J$300,3,FALSE),
IFERROR(IFERROR($D16*VLOOKUP($C16&amp;"|"&amp;VLOOKUP('Stage 2'!$E$12,Lookups!$C$344:$D$345,2,FALSE)&amp;"|"&amp;VLOOKUP('Stage 2'!$E$11,Lookups!$C$304:$E$326,3,FALSE)&amp;"|"&amp;VLOOKUP($E$10,Lookups!$C$335:$D$340,2,FALSE),Lookups!$H$41:$J$300,3,FALSE),IFERROR($D16*VLOOKUP($C16&amp;"|"&amp;"TRUE"&amp;"|"&amp;VLOOKUP('Stage 2'!$E$11,Lookups!$C$304:$E$326,3,FALSE)&amp;"|"&amp;VLOOKUP($E$10,Lookups!$C$335:$D$340,2,FALSE),Lookups!$H$41:$J$300,3,FALSE),$D16*VLOOKUP($C16&amp;"|"&amp;VLOOKUP('Stage 2'!$E$12,Lookups!$C$344:$D$345,2,FALSE)&amp;"|"&amp;VLOOKUP('Stage 2'!$E$11,Lookups!$C$304:$E$326,3,FALSE)&amp;"|"&amp;"DrainedArGr",Lookups!$H$41:$J$300,3,FALSE))),IFERROR($D16*VLOOKUP($C16&amp;"|"&amp;VLOOKUP('Stage 2'!$E$11,Lookups!$C$304:$E$326,3,FALSE),Lookups!$K$41:$M$292,3,FALSE),$D16*VLOOKUP($C16,Lookups!$D$41:$O$292,12,FALSE)))))</f>
        <v/>
      </c>
      <c r="G16" s="168"/>
      <c r="H16" s="169"/>
      <c r="I16" s="169"/>
      <c r="J16" s="169"/>
    </row>
    <row r="17" spans="1:10" x14ac:dyDescent="0.3">
      <c r="A17" s="142"/>
      <c r="B17" s="1"/>
      <c r="C17" s="109"/>
      <c r="D17" s="110"/>
      <c r="E17" s="199" t="str">
        <f>IF(OR(ISBLANK($C17),ISBLANK($D17),ISBLANK($E$10),ISBLANK($E$11)),"",IFERROR($D17*VLOOKUP((IF(OR($C17="Residential urban land",$C17="Commercial/industrial urban land",$C17="Open urban land",$C17="Greenspace",$C17="Community food growing",$C17="Woodland",$C17="Shrub", $C17="Water"), "|||"&amp;$C17, (VLOOKUP('Stage 2'!$E$9,Lookups!$C$330:$D$330,2,FALSE)&amp;"|"&amp;$C17&amp;"|"&amp;VLOOKUP('Stage 2'!$E$12,Lookups!$C$344:$D$345,2,FALSE)&amp;"|"&amp;VLOOKUP('Stage 2'!$E$11,Lookups!$C$304:$E$326,3,FALSE)&amp;"|"&amp;VLOOKUP($E$10,Lookups!$C$335:$D$340,2,FALSE)))),Lookups!$H$41:$J$300,2,FALSE),
IFERROR(IFERROR($D17*VLOOKUP($C17&amp;"|"&amp;VLOOKUP('Stage 2'!$E$12,Lookups!$C$344:$D$345,2,FALSE)&amp;"|"&amp;VLOOKUP('Stage 2'!$E$11,Lookups!$C$304:$E$326,3,FALSE)&amp;"|"&amp;VLOOKUP($E$10,Lookups!$C$335:$D$340,2,FALSE),Lookups!$H$41:$J$300,2,FALSE),IFERROR($D17*VLOOKUP($C17&amp;"|"&amp;"TRUE"&amp;"|"&amp;VLOOKUP('Stage 2'!$E$11,Lookups!$C$304:$E$326,3,FALSE)&amp;"|"&amp;VLOOKUP($E$10,Lookups!$C$335:$D$340,2,FALSE),Lookups!$H$41:$J$300,2,FALSE),$D17*VLOOKUP($C17&amp;"|"&amp;VLOOKUP('Stage 2'!$E$12,Lookups!$C$344:$D$345,2,FALSE)&amp;"|"&amp;VLOOKUP('Stage 2'!$E$11,Lookups!$C$304:$E$326,3,FALSE)&amp;"|"&amp;"DrainedArGr",Lookups!$H$41:$J$300,2,FALSE))),IFERROR($D17*VLOOKUP($C17&amp;"|"&amp;VLOOKUP('Stage 2'!$E$11,Lookups!$C$304:$E$326,3,FALSE),Lookups!$K$41:$M$292,2,FALSE),$D17*VLOOKUP($C17,Lookups!$D$41:$O$292,11,FALSE)))))</f>
        <v/>
      </c>
      <c r="F17" s="186" t="str">
        <f>IF(OR(ISBLANK($C17),ISBLANK($D17),ISBLANK($E$10),ISBLANK($E$11)),"",IFERROR($D17*VLOOKUP((IF(OR($C17="Residential urban land",$C17="Commercial/industrial urban land",$C17="Open urban land",$C17="Greenspace",$C17="Community food growing",$C17="Woodland",$C17="Shrub", $C17="Water"), "|||"&amp;$C17, (VLOOKUP('Stage 2'!$E$9,Lookups!$C$330:$D$330,2,FALSE)&amp;"|"&amp;$C17&amp;"|"&amp;VLOOKUP('Stage 2'!$E$12,Lookups!$C$344:$D$345,2,FALSE)&amp;"|"&amp;VLOOKUP('Stage 2'!$E$11,Lookups!$C$304:$E$326,3,FALSE)&amp;"|"&amp;VLOOKUP($E$10,Lookups!$C$335:$D$340,2,FALSE)))),Lookups!$H$41:$J$300,3,FALSE),
IFERROR(IFERROR($D17*VLOOKUP($C17&amp;"|"&amp;VLOOKUP('Stage 2'!$E$12,Lookups!$C$344:$D$345,2,FALSE)&amp;"|"&amp;VLOOKUP('Stage 2'!$E$11,Lookups!$C$304:$E$326,3,FALSE)&amp;"|"&amp;VLOOKUP($E$10,Lookups!$C$335:$D$340,2,FALSE),Lookups!$H$41:$J$300,3,FALSE),IFERROR($D17*VLOOKUP($C17&amp;"|"&amp;"TRUE"&amp;"|"&amp;VLOOKUP('Stage 2'!$E$11,Lookups!$C$304:$E$326,3,FALSE)&amp;"|"&amp;VLOOKUP($E$10,Lookups!$C$335:$D$340,2,FALSE),Lookups!$H$41:$J$300,3,FALSE),$D17*VLOOKUP($C17&amp;"|"&amp;VLOOKUP('Stage 2'!$E$12,Lookups!$C$344:$D$345,2,FALSE)&amp;"|"&amp;VLOOKUP('Stage 2'!$E$11,Lookups!$C$304:$E$326,3,FALSE)&amp;"|"&amp;"DrainedArGr",Lookups!$H$41:$J$300,3,FALSE))),IFERROR($D17*VLOOKUP($C17&amp;"|"&amp;VLOOKUP('Stage 2'!$E$11,Lookups!$C$304:$E$326,3,FALSE),Lookups!$K$41:$M$292,3,FALSE),$D17*VLOOKUP($C17,Lookups!$D$41:$O$292,12,FALSE)))))</f>
        <v/>
      </c>
      <c r="G17" s="168"/>
      <c r="H17" s="169"/>
      <c r="I17" s="169"/>
      <c r="J17" s="169"/>
    </row>
    <row r="18" spans="1:10" x14ac:dyDescent="0.3">
      <c r="A18" s="142"/>
      <c r="B18" s="1"/>
      <c r="C18" s="109"/>
      <c r="D18" s="110"/>
      <c r="E18" s="199" t="str">
        <f>IF(OR(ISBLANK($C18),ISBLANK($D18),ISBLANK($E$10),ISBLANK($E$11)),"",IFERROR($D18*VLOOKUP((IF(OR($C18="Residential urban land",$C18="Commercial/industrial urban land",$C18="Open urban land",$C18="Greenspace",$C18="Community food growing",$C18="Woodland",$C18="Shrub", $C18="Water"), "|||"&amp;$C18, (VLOOKUP('Stage 2'!$E$9,Lookups!$C$330:$D$330,2,FALSE)&amp;"|"&amp;$C18&amp;"|"&amp;VLOOKUP('Stage 2'!$E$12,Lookups!$C$344:$D$345,2,FALSE)&amp;"|"&amp;VLOOKUP('Stage 2'!$E$11,Lookups!$C$304:$E$326,3,FALSE)&amp;"|"&amp;VLOOKUP($E$10,Lookups!$C$335:$D$340,2,FALSE)))),Lookups!$H$41:$J$300,2,FALSE),
IFERROR(IFERROR($D18*VLOOKUP($C18&amp;"|"&amp;VLOOKUP('Stage 2'!$E$12,Lookups!$C$344:$D$345,2,FALSE)&amp;"|"&amp;VLOOKUP('Stage 2'!$E$11,Lookups!$C$304:$E$326,3,FALSE)&amp;"|"&amp;VLOOKUP($E$10,Lookups!$C$335:$D$340,2,FALSE),Lookups!$H$41:$J$300,2,FALSE),IFERROR($D18*VLOOKUP($C18&amp;"|"&amp;"TRUE"&amp;"|"&amp;VLOOKUP('Stage 2'!$E$11,Lookups!$C$304:$E$326,3,FALSE)&amp;"|"&amp;VLOOKUP($E$10,Lookups!$C$335:$D$340,2,FALSE),Lookups!$H$41:$J$300,2,FALSE),$D18*VLOOKUP($C18&amp;"|"&amp;VLOOKUP('Stage 2'!$E$12,Lookups!$C$344:$D$345,2,FALSE)&amp;"|"&amp;VLOOKUP('Stage 2'!$E$11,Lookups!$C$304:$E$326,3,FALSE)&amp;"|"&amp;"DrainedArGr",Lookups!$H$41:$J$300,2,FALSE))),IFERROR($D18*VLOOKUP($C18&amp;"|"&amp;VLOOKUP('Stage 2'!$E$11,Lookups!$C$304:$E$326,3,FALSE),Lookups!$K$41:$M$292,2,FALSE),$D18*VLOOKUP($C18,Lookups!$D$41:$O$292,11,FALSE)))))</f>
        <v/>
      </c>
      <c r="F18" s="186" t="str">
        <f>IF(OR(ISBLANK($C18),ISBLANK($D18),ISBLANK($E$10),ISBLANK($E$11)),"",IFERROR($D18*VLOOKUP((IF(OR($C18="Residential urban land",$C18="Commercial/industrial urban land",$C18="Open urban land",$C18="Greenspace",$C18="Community food growing",$C18="Woodland",$C18="Shrub", $C18="Water"), "|||"&amp;$C18, (VLOOKUP('Stage 2'!$E$9,Lookups!$C$330:$D$330,2,FALSE)&amp;"|"&amp;$C18&amp;"|"&amp;VLOOKUP('Stage 2'!$E$12,Lookups!$C$344:$D$345,2,FALSE)&amp;"|"&amp;VLOOKUP('Stage 2'!$E$11,Lookups!$C$304:$E$326,3,FALSE)&amp;"|"&amp;VLOOKUP($E$10,Lookups!$C$335:$D$340,2,FALSE)))),Lookups!$H$41:$J$300,3,FALSE),
IFERROR(IFERROR($D18*VLOOKUP($C18&amp;"|"&amp;VLOOKUP('Stage 2'!$E$12,Lookups!$C$344:$D$345,2,FALSE)&amp;"|"&amp;VLOOKUP('Stage 2'!$E$11,Lookups!$C$304:$E$326,3,FALSE)&amp;"|"&amp;VLOOKUP($E$10,Lookups!$C$335:$D$340,2,FALSE),Lookups!$H$41:$J$300,3,FALSE),IFERROR($D18*VLOOKUP($C18&amp;"|"&amp;"TRUE"&amp;"|"&amp;VLOOKUP('Stage 2'!$E$11,Lookups!$C$304:$E$326,3,FALSE)&amp;"|"&amp;VLOOKUP($E$10,Lookups!$C$335:$D$340,2,FALSE),Lookups!$H$41:$J$300,3,FALSE),$D18*VLOOKUP($C18&amp;"|"&amp;VLOOKUP('Stage 2'!$E$12,Lookups!$C$344:$D$345,2,FALSE)&amp;"|"&amp;VLOOKUP('Stage 2'!$E$11,Lookups!$C$304:$E$326,3,FALSE)&amp;"|"&amp;"DrainedArGr",Lookups!$H$41:$J$300,3,FALSE))),IFERROR($D18*VLOOKUP($C18&amp;"|"&amp;VLOOKUP('Stage 2'!$E$11,Lookups!$C$304:$E$326,3,FALSE),Lookups!$K$41:$M$292,3,FALSE),$D18*VLOOKUP($C18,Lookups!$D$41:$O$292,12,FALSE)))))</f>
        <v/>
      </c>
      <c r="G18" s="168"/>
      <c r="H18" s="169"/>
      <c r="I18" s="169"/>
      <c r="J18" s="169"/>
    </row>
    <row r="19" spans="1:10" x14ac:dyDescent="0.3">
      <c r="A19" s="142"/>
      <c r="B19" s="1"/>
      <c r="C19" s="109"/>
      <c r="D19" s="110"/>
      <c r="E19" s="199" t="str">
        <f>IF(OR(ISBLANK($C19),ISBLANK($D19),ISBLANK($E$10),ISBLANK($E$11)),"",IFERROR($D19*VLOOKUP((IF(OR($C19="Residential urban land",$C19="Commercial/industrial urban land",$C19="Open urban land",$C19="Greenspace",$C19="Community food growing",$C19="Woodland",$C19="Shrub", $C19="Water"), "|||"&amp;$C19, (VLOOKUP('Stage 2'!$E$9,Lookups!$C$330:$D$330,2,FALSE)&amp;"|"&amp;$C19&amp;"|"&amp;VLOOKUP('Stage 2'!$E$12,Lookups!$C$344:$D$345,2,FALSE)&amp;"|"&amp;VLOOKUP('Stage 2'!$E$11,Lookups!$C$304:$E$326,3,FALSE)&amp;"|"&amp;VLOOKUP($E$10,Lookups!$C$335:$D$340,2,FALSE)))),Lookups!$H$41:$J$300,2,FALSE),
IFERROR(IFERROR($D19*VLOOKUP($C19&amp;"|"&amp;VLOOKUP('Stage 2'!$E$12,Lookups!$C$344:$D$345,2,FALSE)&amp;"|"&amp;VLOOKUP('Stage 2'!$E$11,Lookups!$C$304:$E$326,3,FALSE)&amp;"|"&amp;VLOOKUP($E$10,Lookups!$C$335:$D$340,2,FALSE),Lookups!$H$41:$J$300,2,FALSE),IFERROR($D19*VLOOKUP($C19&amp;"|"&amp;"TRUE"&amp;"|"&amp;VLOOKUP('Stage 2'!$E$11,Lookups!$C$304:$E$326,3,FALSE)&amp;"|"&amp;VLOOKUP($E$10,Lookups!$C$335:$D$340,2,FALSE),Lookups!$H$41:$J$300,2,FALSE),$D19*VLOOKUP($C19&amp;"|"&amp;VLOOKUP('Stage 2'!$E$12,Lookups!$C$344:$D$345,2,FALSE)&amp;"|"&amp;VLOOKUP('Stage 2'!$E$11,Lookups!$C$304:$E$326,3,FALSE)&amp;"|"&amp;"DrainedArGr",Lookups!$H$41:$J$300,2,FALSE))),IFERROR($D19*VLOOKUP($C19&amp;"|"&amp;VLOOKUP('Stage 2'!$E$11,Lookups!$C$304:$E$326,3,FALSE),Lookups!$K$41:$M$292,2,FALSE),$D19*VLOOKUP($C19,Lookups!$D$41:$O$292,11,FALSE)))))</f>
        <v/>
      </c>
      <c r="F19" s="186" t="str">
        <f>IF(OR(ISBLANK($C19),ISBLANK($D19),ISBLANK($E$10),ISBLANK($E$11)),"",IFERROR($D19*VLOOKUP((IF(OR($C19="Residential urban land",$C19="Commercial/industrial urban land",$C19="Open urban land",$C19="Greenspace",$C19="Community food growing",$C19="Woodland",$C19="Shrub", $C19="Water"), "|||"&amp;$C19, (VLOOKUP('Stage 2'!$E$9,Lookups!$C$330:$D$330,2,FALSE)&amp;"|"&amp;$C19&amp;"|"&amp;VLOOKUP('Stage 2'!$E$12,Lookups!$C$344:$D$345,2,FALSE)&amp;"|"&amp;VLOOKUP('Stage 2'!$E$11,Lookups!$C$304:$E$326,3,FALSE)&amp;"|"&amp;VLOOKUP($E$10,Lookups!$C$335:$D$340,2,FALSE)))),Lookups!$H$41:$J$300,3,FALSE),
IFERROR(IFERROR($D19*VLOOKUP($C19&amp;"|"&amp;VLOOKUP('Stage 2'!$E$12,Lookups!$C$344:$D$345,2,FALSE)&amp;"|"&amp;VLOOKUP('Stage 2'!$E$11,Lookups!$C$304:$E$326,3,FALSE)&amp;"|"&amp;VLOOKUP($E$10,Lookups!$C$335:$D$340,2,FALSE),Lookups!$H$41:$J$300,3,FALSE),IFERROR($D19*VLOOKUP($C19&amp;"|"&amp;"TRUE"&amp;"|"&amp;VLOOKUP('Stage 2'!$E$11,Lookups!$C$304:$E$326,3,FALSE)&amp;"|"&amp;VLOOKUP($E$10,Lookups!$C$335:$D$340,2,FALSE),Lookups!$H$41:$J$300,3,FALSE),$D19*VLOOKUP($C19&amp;"|"&amp;VLOOKUP('Stage 2'!$E$12,Lookups!$C$344:$D$345,2,FALSE)&amp;"|"&amp;VLOOKUP('Stage 2'!$E$11,Lookups!$C$304:$E$326,3,FALSE)&amp;"|"&amp;"DrainedArGr",Lookups!$H$41:$J$300,3,FALSE))),IFERROR($D19*VLOOKUP($C19&amp;"|"&amp;VLOOKUP('Stage 2'!$E$11,Lookups!$C$304:$E$326,3,FALSE),Lookups!$K$41:$M$292,3,FALSE),$D19*VLOOKUP($C19,Lookups!$D$41:$O$292,12,FALSE)))))</f>
        <v/>
      </c>
      <c r="G19" s="168"/>
      <c r="H19" s="169"/>
      <c r="I19" s="169"/>
      <c r="J19" s="169"/>
    </row>
    <row r="20" spans="1:10" x14ac:dyDescent="0.3">
      <c r="A20" s="142"/>
      <c r="B20" s="1"/>
      <c r="C20" s="109"/>
      <c r="D20" s="110"/>
      <c r="E20" s="199" t="str">
        <f>IF(OR(ISBLANK($C20),ISBLANK($D20),ISBLANK($E$10),ISBLANK($E$11)),"",IFERROR($D20*VLOOKUP((IF(OR($C20="Residential urban land",$C20="Commercial/industrial urban land",$C20="Open urban land",$C20="Greenspace",$C20="Community food growing",$C20="Woodland",$C20="Shrub", $C20="Water"), "|||"&amp;$C20, (VLOOKUP('Stage 2'!$E$9,Lookups!$C$330:$D$330,2,FALSE)&amp;"|"&amp;$C20&amp;"|"&amp;VLOOKUP('Stage 2'!$E$12,Lookups!$C$344:$D$345,2,FALSE)&amp;"|"&amp;VLOOKUP('Stage 2'!$E$11,Lookups!$C$304:$E$326,3,FALSE)&amp;"|"&amp;VLOOKUP($E$10,Lookups!$C$335:$D$340,2,FALSE)))),Lookups!$H$41:$J$300,2,FALSE),
IFERROR(IFERROR($D20*VLOOKUP($C20&amp;"|"&amp;VLOOKUP('Stage 2'!$E$12,Lookups!$C$344:$D$345,2,FALSE)&amp;"|"&amp;VLOOKUP('Stage 2'!$E$11,Lookups!$C$304:$E$326,3,FALSE)&amp;"|"&amp;VLOOKUP($E$10,Lookups!$C$335:$D$340,2,FALSE),Lookups!$H$41:$J$300,2,FALSE),IFERROR($D20*VLOOKUP($C20&amp;"|"&amp;"TRUE"&amp;"|"&amp;VLOOKUP('Stage 2'!$E$11,Lookups!$C$304:$E$326,3,FALSE)&amp;"|"&amp;VLOOKUP($E$10,Lookups!$C$335:$D$340,2,FALSE),Lookups!$H$41:$J$300,2,FALSE),$D20*VLOOKUP($C20&amp;"|"&amp;VLOOKUP('Stage 2'!$E$12,Lookups!$C$344:$D$345,2,FALSE)&amp;"|"&amp;VLOOKUP('Stage 2'!$E$11,Lookups!$C$304:$E$326,3,FALSE)&amp;"|"&amp;"DrainedArGr",Lookups!$H$41:$J$300,2,FALSE))),IFERROR($D20*VLOOKUP($C20&amp;"|"&amp;VLOOKUP('Stage 2'!$E$11,Lookups!$C$304:$E$326,3,FALSE),Lookups!$K$41:$M$292,2,FALSE),$D20*VLOOKUP($C20,Lookups!$D$41:$O$292,11,FALSE)))))</f>
        <v/>
      </c>
      <c r="F20" s="186" t="str">
        <f>IF(OR(ISBLANK($C20),ISBLANK($D20),ISBLANK($E$10),ISBLANK($E$11)),"",IFERROR($D20*VLOOKUP((IF(OR($C20="Residential urban land",$C20="Commercial/industrial urban land",$C20="Open urban land",$C20="Greenspace",$C20="Community food growing",$C20="Woodland",$C20="Shrub", $C20="Water"), "|||"&amp;$C20, (VLOOKUP('Stage 2'!$E$9,Lookups!$C$330:$D$330,2,FALSE)&amp;"|"&amp;$C20&amp;"|"&amp;VLOOKUP('Stage 2'!$E$12,Lookups!$C$344:$D$345,2,FALSE)&amp;"|"&amp;VLOOKUP('Stage 2'!$E$11,Lookups!$C$304:$E$326,3,FALSE)&amp;"|"&amp;VLOOKUP($E$10,Lookups!$C$335:$D$340,2,FALSE)))),Lookups!$H$41:$J$300,3,FALSE),
IFERROR(IFERROR($D20*VLOOKUP($C20&amp;"|"&amp;VLOOKUP('Stage 2'!$E$12,Lookups!$C$344:$D$345,2,FALSE)&amp;"|"&amp;VLOOKUP('Stage 2'!$E$11,Lookups!$C$304:$E$326,3,FALSE)&amp;"|"&amp;VLOOKUP($E$10,Lookups!$C$335:$D$340,2,FALSE),Lookups!$H$41:$J$300,3,FALSE),IFERROR($D20*VLOOKUP($C20&amp;"|"&amp;"TRUE"&amp;"|"&amp;VLOOKUP('Stage 2'!$E$11,Lookups!$C$304:$E$326,3,FALSE)&amp;"|"&amp;VLOOKUP($E$10,Lookups!$C$335:$D$340,2,FALSE),Lookups!$H$41:$J$300,3,FALSE),$D20*VLOOKUP($C20&amp;"|"&amp;VLOOKUP('Stage 2'!$E$12,Lookups!$C$344:$D$345,2,FALSE)&amp;"|"&amp;VLOOKUP('Stage 2'!$E$11,Lookups!$C$304:$E$326,3,FALSE)&amp;"|"&amp;"DrainedArGr",Lookups!$H$41:$J$300,3,FALSE))),IFERROR($D20*VLOOKUP($C20&amp;"|"&amp;VLOOKUP('Stage 2'!$E$11,Lookups!$C$304:$E$326,3,FALSE),Lookups!$K$41:$M$292,3,FALSE),$D20*VLOOKUP($C20,Lookups!$D$41:$O$292,12,FALSE)))))</f>
        <v/>
      </c>
      <c r="G20" s="168"/>
      <c r="H20" s="169"/>
      <c r="I20" s="169"/>
      <c r="J20" s="169"/>
    </row>
    <row r="21" spans="1:10" x14ac:dyDescent="0.3">
      <c r="A21" s="142"/>
      <c r="B21" s="1"/>
      <c r="C21" s="109"/>
      <c r="D21" s="110"/>
      <c r="E21" s="199" t="str">
        <f>IF(OR(ISBLANK($C21),ISBLANK($D21),ISBLANK($E$10),ISBLANK($E$11)),"",IFERROR($D21*VLOOKUP((IF(OR($C21="Residential urban land",$C21="Commercial/industrial urban land",$C21="Open urban land",$C21="Greenspace",$C21="Community food growing",$C21="Woodland",$C21="Shrub", $C21="Water"), "|||"&amp;$C21, (VLOOKUP('Stage 2'!$E$9,Lookups!$C$330:$D$330,2,FALSE)&amp;"|"&amp;$C21&amp;"|"&amp;VLOOKUP('Stage 2'!$E$12,Lookups!$C$344:$D$345,2,FALSE)&amp;"|"&amp;VLOOKUP('Stage 2'!$E$11,Lookups!$C$304:$E$326,3,FALSE)&amp;"|"&amp;VLOOKUP($E$10,Lookups!$C$335:$D$340,2,FALSE)))),Lookups!$H$41:$J$300,2,FALSE),
IFERROR(IFERROR($D21*VLOOKUP($C21&amp;"|"&amp;VLOOKUP('Stage 2'!$E$12,Lookups!$C$344:$D$345,2,FALSE)&amp;"|"&amp;VLOOKUP('Stage 2'!$E$11,Lookups!$C$304:$E$326,3,FALSE)&amp;"|"&amp;VLOOKUP($E$10,Lookups!$C$335:$D$340,2,FALSE),Lookups!$H$41:$J$300,2,FALSE),IFERROR($D21*VLOOKUP($C21&amp;"|"&amp;"TRUE"&amp;"|"&amp;VLOOKUP('Stage 2'!$E$11,Lookups!$C$304:$E$326,3,FALSE)&amp;"|"&amp;VLOOKUP($E$10,Lookups!$C$335:$D$340,2,FALSE),Lookups!$H$41:$J$300,2,FALSE),$D21*VLOOKUP($C21&amp;"|"&amp;VLOOKUP('Stage 2'!$E$12,Lookups!$C$344:$D$345,2,FALSE)&amp;"|"&amp;VLOOKUP('Stage 2'!$E$11,Lookups!$C$304:$E$326,3,FALSE)&amp;"|"&amp;"DrainedArGr",Lookups!$H$41:$J$300,2,FALSE))),IFERROR($D21*VLOOKUP($C21&amp;"|"&amp;VLOOKUP('Stage 2'!$E$11,Lookups!$C$304:$E$326,3,FALSE),Lookups!$K$41:$M$292,2,FALSE),$D21*VLOOKUP($C21,Lookups!$D$41:$O$292,11,FALSE)))))</f>
        <v/>
      </c>
      <c r="F21" s="186" t="str">
        <f>IF(OR(ISBLANK($C21),ISBLANK($D21),ISBLANK($E$10),ISBLANK($E$11)),"",IFERROR($D21*VLOOKUP((IF(OR($C21="Residential urban land",$C21="Commercial/industrial urban land",$C21="Open urban land",$C21="Greenspace",$C21="Community food growing",$C21="Woodland",$C21="Shrub", $C21="Water"), "|||"&amp;$C21, (VLOOKUP('Stage 2'!$E$9,Lookups!$C$330:$D$330,2,FALSE)&amp;"|"&amp;$C21&amp;"|"&amp;VLOOKUP('Stage 2'!$E$12,Lookups!$C$344:$D$345,2,FALSE)&amp;"|"&amp;VLOOKUP('Stage 2'!$E$11,Lookups!$C$304:$E$326,3,FALSE)&amp;"|"&amp;VLOOKUP($E$10,Lookups!$C$335:$D$340,2,FALSE)))),Lookups!$H$41:$J$300,3,FALSE),
IFERROR(IFERROR($D21*VLOOKUP($C21&amp;"|"&amp;VLOOKUP('Stage 2'!$E$12,Lookups!$C$344:$D$345,2,FALSE)&amp;"|"&amp;VLOOKUP('Stage 2'!$E$11,Lookups!$C$304:$E$326,3,FALSE)&amp;"|"&amp;VLOOKUP($E$10,Lookups!$C$335:$D$340,2,FALSE),Lookups!$H$41:$J$300,3,FALSE),IFERROR($D21*VLOOKUP($C21&amp;"|"&amp;"TRUE"&amp;"|"&amp;VLOOKUP('Stage 2'!$E$11,Lookups!$C$304:$E$326,3,FALSE)&amp;"|"&amp;VLOOKUP($E$10,Lookups!$C$335:$D$340,2,FALSE),Lookups!$H$41:$J$300,3,FALSE),$D21*VLOOKUP($C21&amp;"|"&amp;VLOOKUP('Stage 2'!$E$12,Lookups!$C$344:$D$345,2,FALSE)&amp;"|"&amp;VLOOKUP('Stage 2'!$E$11,Lookups!$C$304:$E$326,3,FALSE)&amp;"|"&amp;"DrainedArGr",Lookups!$H$41:$J$300,3,FALSE))),IFERROR($D21*VLOOKUP($C21&amp;"|"&amp;VLOOKUP('Stage 2'!$E$11,Lookups!$C$304:$E$326,3,FALSE),Lookups!$K$41:$M$292,3,FALSE),$D21*VLOOKUP($C21,Lookups!$D$41:$O$292,12,FALSE)))))</f>
        <v/>
      </c>
      <c r="G21" s="161"/>
    </row>
    <row r="22" spans="1:10" x14ac:dyDescent="0.3">
      <c r="A22" s="142"/>
      <c r="B22" s="1"/>
      <c r="C22" s="109"/>
      <c r="D22" s="110"/>
      <c r="E22" s="199" t="str">
        <f>IF(OR(ISBLANK($C22),ISBLANK($D22),ISBLANK($E$10),ISBLANK($E$11)),"",IFERROR($D22*VLOOKUP((IF(OR($C22="Residential urban land",$C22="Commercial/industrial urban land",$C22="Open urban land",$C22="Greenspace",$C22="Community food growing",$C22="Woodland",$C22="Shrub", $C22="Water"), "|||"&amp;$C22, (VLOOKUP('Stage 2'!$E$9,Lookups!$C$330:$D$330,2,FALSE)&amp;"|"&amp;$C22&amp;"|"&amp;VLOOKUP('Stage 2'!$E$12,Lookups!$C$344:$D$345,2,FALSE)&amp;"|"&amp;VLOOKUP('Stage 2'!$E$11,Lookups!$C$304:$E$326,3,FALSE)&amp;"|"&amp;VLOOKUP($E$10,Lookups!$C$335:$D$340,2,FALSE)))),Lookups!$H$41:$J$300,2,FALSE),
IFERROR(IFERROR($D22*VLOOKUP($C22&amp;"|"&amp;VLOOKUP('Stage 2'!$E$12,Lookups!$C$344:$D$345,2,FALSE)&amp;"|"&amp;VLOOKUP('Stage 2'!$E$11,Lookups!$C$304:$E$326,3,FALSE)&amp;"|"&amp;VLOOKUP($E$10,Lookups!$C$335:$D$340,2,FALSE),Lookups!$H$41:$J$300,2,FALSE),IFERROR($D22*VLOOKUP($C22&amp;"|"&amp;"TRUE"&amp;"|"&amp;VLOOKUP('Stage 2'!$E$11,Lookups!$C$304:$E$326,3,FALSE)&amp;"|"&amp;VLOOKUP($E$10,Lookups!$C$335:$D$340,2,FALSE),Lookups!$H$41:$J$300,2,FALSE),$D22*VLOOKUP($C22&amp;"|"&amp;VLOOKUP('Stage 2'!$E$12,Lookups!$C$344:$D$345,2,FALSE)&amp;"|"&amp;VLOOKUP('Stage 2'!$E$11,Lookups!$C$304:$E$326,3,FALSE)&amp;"|"&amp;"DrainedArGr",Lookups!$H$41:$J$300,2,FALSE))),IFERROR($D22*VLOOKUP($C22&amp;"|"&amp;VLOOKUP('Stage 2'!$E$11,Lookups!$C$304:$E$326,3,FALSE),Lookups!$K$41:$M$292,2,FALSE),$D22*VLOOKUP($C22,Lookups!$D$41:$O$292,11,FALSE)))))</f>
        <v/>
      </c>
      <c r="F22" s="186" t="str">
        <f>IF(OR(ISBLANK($C22),ISBLANK($D22),ISBLANK($E$10),ISBLANK($E$11)),"",IFERROR($D22*VLOOKUP((IF(OR($C22="Residential urban land",$C22="Commercial/industrial urban land",$C22="Open urban land",$C22="Greenspace",$C22="Community food growing",$C22="Woodland",$C22="Shrub", $C22="Water"), "|||"&amp;$C22, (VLOOKUP('Stage 2'!$E$9,Lookups!$C$330:$D$330,2,FALSE)&amp;"|"&amp;$C22&amp;"|"&amp;VLOOKUP('Stage 2'!$E$12,Lookups!$C$344:$D$345,2,FALSE)&amp;"|"&amp;VLOOKUP('Stage 2'!$E$11,Lookups!$C$304:$E$326,3,FALSE)&amp;"|"&amp;VLOOKUP($E$10,Lookups!$C$335:$D$340,2,FALSE)))),Lookups!$H$41:$J$300,3,FALSE),
IFERROR(IFERROR($D22*VLOOKUP($C22&amp;"|"&amp;VLOOKUP('Stage 2'!$E$12,Lookups!$C$344:$D$345,2,FALSE)&amp;"|"&amp;VLOOKUP('Stage 2'!$E$11,Lookups!$C$304:$E$326,3,FALSE)&amp;"|"&amp;VLOOKUP($E$10,Lookups!$C$335:$D$340,2,FALSE),Lookups!$H$41:$J$300,3,FALSE),IFERROR($D22*VLOOKUP($C22&amp;"|"&amp;"TRUE"&amp;"|"&amp;VLOOKUP('Stage 2'!$E$11,Lookups!$C$304:$E$326,3,FALSE)&amp;"|"&amp;VLOOKUP($E$10,Lookups!$C$335:$D$340,2,FALSE),Lookups!$H$41:$J$300,3,FALSE),$D22*VLOOKUP($C22&amp;"|"&amp;VLOOKUP('Stage 2'!$E$12,Lookups!$C$344:$D$345,2,FALSE)&amp;"|"&amp;VLOOKUP('Stage 2'!$E$11,Lookups!$C$304:$E$326,3,FALSE)&amp;"|"&amp;"DrainedArGr",Lookups!$H$41:$J$300,3,FALSE))),IFERROR($D22*VLOOKUP($C22&amp;"|"&amp;VLOOKUP('Stage 2'!$E$11,Lookups!$C$304:$E$326,3,FALSE),Lookups!$K$41:$M$292,3,FALSE),$D22*VLOOKUP($C22,Lookups!$D$41:$O$292,12,FALSE)))))</f>
        <v/>
      </c>
      <c r="G22" s="161"/>
    </row>
    <row r="23" spans="1:10" x14ac:dyDescent="0.3">
      <c r="A23" s="142"/>
      <c r="B23" s="1"/>
      <c r="C23" s="109"/>
      <c r="D23" s="110"/>
      <c r="E23" s="199" t="str">
        <f>IF(OR(ISBLANK($C23),ISBLANK($D23),ISBLANK($E$10),ISBLANK($E$11)),"",IFERROR($D23*VLOOKUP((IF(OR($C23="Residential urban land",$C23="Commercial/industrial urban land",$C23="Open urban land",$C23="Greenspace",$C23="Community food growing",$C23="Woodland",$C23="Shrub", $C23="Water"), "|||"&amp;$C23, (VLOOKUP('Stage 2'!$E$9,Lookups!$C$330:$D$330,2,FALSE)&amp;"|"&amp;$C23&amp;"|"&amp;VLOOKUP('Stage 2'!$E$12,Lookups!$C$344:$D$345,2,FALSE)&amp;"|"&amp;VLOOKUP('Stage 2'!$E$11,Lookups!$C$304:$E$326,3,FALSE)&amp;"|"&amp;VLOOKUP($E$10,Lookups!$C$335:$D$340,2,FALSE)))),Lookups!$H$41:$J$300,2,FALSE),
IFERROR(IFERROR($D23*VLOOKUP($C23&amp;"|"&amp;VLOOKUP('Stage 2'!$E$12,Lookups!$C$344:$D$345,2,FALSE)&amp;"|"&amp;VLOOKUP('Stage 2'!$E$11,Lookups!$C$304:$E$326,3,FALSE)&amp;"|"&amp;VLOOKUP($E$10,Lookups!$C$335:$D$340,2,FALSE),Lookups!$H$41:$J$300,2,FALSE),IFERROR($D23*VLOOKUP($C23&amp;"|"&amp;"TRUE"&amp;"|"&amp;VLOOKUP('Stage 2'!$E$11,Lookups!$C$304:$E$326,3,FALSE)&amp;"|"&amp;VLOOKUP($E$10,Lookups!$C$335:$D$340,2,FALSE),Lookups!$H$41:$J$300,2,FALSE),$D23*VLOOKUP($C23&amp;"|"&amp;VLOOKUP('Stage 2'!$E$12,Lookups!$C$344:$D$345,2,FALSE)&amp;"|"&amp;VLOOKUP('Stage 2'!$E$11,Lookups!$C$304:$E$326,3,FALSE)&amp;"|"&amp;"DrainedArGr",Lookups!$H$41:$J$300,2,FALSE))),IFERROR($D23*VLOOKUP($C23&amp;"|"&amp;VLOOKUP('Stage 2'!$E$11,Lookups!$C$304:$E$326,3,FALSE),Lookups!$K$41:$M$292,2,FALSE),$D23*VLOOKUP($C23,Lookups!$D$41:$O$292,11,FALSE)))))</f>
        <v/>
      </c>
      <c r="F23" s="186" t="str">
        <f>IF(OR(ISBLANK($C23),ISBLANK($D23),ISBLANK($E$10),ISBLANK($E$11)),"",IFERROR($D23*VLOOKUP((IF(OR($C23="Residential urban land",$C23="Commercial/industrial urban land",$C23="Open urban land",$C23="Greenspace",$C23="Community food growing",$C23="Woodland",$C23="Shrub", $C23="Water"), "|||"&amp;$C23, (VLOOKUP('Stage 2'!$E$9,Lookups!$C$330:$D$330,2,FALSE)&amp;"|"&amp;$C23&amp;"|"&amp;VLOOKUP('Stage 2'!$E$12,Lookups!$C$344:$D$345,2,FALSE)&amp;"|"&amp;VLOOKUP('Stage 2'!$E$11,Lookups!$C$304:$E$326,3,FALSE)&amp;"|"&amp;VLOOKUP($E$10,Lookups!$C$335:$D$340,2,FALSE)))),Lookups!$H$41:$J$300,3,FALSE),
IFERROR(IFERROR($D23*VLOOKUP($C23&amp;"|"&amp;VLOOKUP('Stage 2'!$E$12,Lookups!$C$344:$D$345,2,FALSE)&amp;"|"&amp;VLOOKUP('Stage 2'!$E$11,Lookups!$C$304:$E$326,3,FALSE)&amp;"|"&amp;VLOOKUP($E$10,Lookups!$C$335:$D$340,2,FALSE),Lookups!$H$41:$J$300,3,FALSE),IFERROR($D23*VLOOKUP($C23&amp;"|"&amp;"TRUE"&amp;"|"&amp;VLOOKUP('Stage 2'!$E$11,Lookups!$C$304:$E$326,3,FALSE)&amp;"|"&amp;VLOOKUP($E$10,Lookups!$C$335:$D$340,2,FALSE),Lookups!$H$41:$J$300,3,FALSE),$D23*VLOOKUP($C23&amp;"|"&amp;VLOOKUP('Stage 2'!$E$12,Lookups!$C$344:$D$345,2,FALSE)&amp;"|"&amp;VLOOKUP('Stage 2'!$E$11,Lookups!$C$304:$E$326,3,FALSE)&amp;"|"&amp;"DrainedArGr",Lookups!$H$41:$J$300,3,FALSE))),IFERROR($D23*VLOOKUP($C23&amp;"|"&amp;VLOOKUP('Stage 2'!$E$11,Lookups!$C$304:$E$326,3,FALSE),Lookups!$K$41:$M$292,3,FALSE),$D23*VLOOKUP($C23,Lookups!$D$41:$O$292,12,FALSE)))))</f>
        <v/>
      </c>
      <c r="G23" s="161"/>
    </row>
    <row r="24" spans="1:10" x14ac:dyDescent="0.3">
      <c r="A24" s="142"/>
      <c r="B24" s="1"/>
      <c r="C24" s="109"/>
      <c r="D24" s="110"/>
      <c r="E24" s="199" t="str">
        <f>IF(OR(ISBLANK($C24),ISBLANK($D24),ISBLANK($E$10),ISBLANK($E$11)),"",IFERROR($D24*VLOOKUP((IF(OR($C24="Residential urban land",$C24="Commercial/industrial urban land",$C24="Open urban land",$C24="Greenspace",$C24="Community food growing",$C24="Woodland",$C24="Shrub", $C24="Water"), "|||"&amp;$C24, (VLOOKUP('Stage 2'!$E$9,Lookups!$C$330:$D$330,2,FALSE)&amp;"|"&amp;$C24&amp;"|"&amp;VLOOKUP('Stage 2'!$E$12,Lookups!$C$344:$D$345,2,FALSE)&amp;"|"&amp;VLOOKUP('Stage 2'!$E$11,Lookups!$C$304:$E$326,3,FALSE)&amp;"|"&amp;VLOOKUP($E$10,Lookups!$C$335:$D$340,2,FALSE)))),Lookups!$H$41:$J$300,2,FALSE),
IFERROR(IFERROR($D24*VLOOKUP($C24&amp;"|"&amp;VLOOKUP('Stage 2'!$E$12,Lookups!$C$344:$D$345,2,FALSE)&amp;"|"&amp;VLOOKUP('Stage 2'!$E$11,Lookups!$C$304:$E$326,3,FALSE)&amp;"|"&amp;VLOOKUP($E$10,Lookups!$C$335:$D$340,2,FALSE),Lookups!$H$41:$J$300,2,FALSE),IFERROR($D24*VLOOKUP($C24&amp;"|"&amp;"TRUE"&amp;"|"&amp;VLOOKUP('Stage 2'!$E$11,Lookups!$C$304:$E$326,3,FALSE)&amp;"|"&amp;VLOOKUP($E$10,Lookups!$C$335:$D$340,2,FALSE),Lookups!$H$41:$J$300,2,FALSE),$D24*VLOOKUP($C24&amp;"|"&amp;VLOOKUP('Stage 2'!$E$12,Lookups!$C$344:$D$345,2,FALSE)&amp;"|"&amp;VLOOKUP('Stage 2'!$E$11,Lookups!$C$304:$E$326,3,FALSE)&amp;"|"&amp;"DrainedArGr",Lookups!$H$41:$J$300,2,FALSE))),IFERROR($D24*VLOOKUP($C24&amp;"|"&amp;VLOOKUP('Stage 2'!$E$11,Lookups!$C$304:$E$326,3,FALSE),Lookups!$K$41:$M$292,2,FALSE),$D24*VLOOKUP($C24,Lookups!$D$41:$O$292,11,FALSE)))))</f>
        <v/>
      </c>
      <c r="F24" s="186" t="str">
        <f>IF(OR(ISBLANK($C24),ISBLANK($D24),ISBLANK($E$10),ISBLANK($E$11)),"",IFERROR($D24*VLOOKUP((IF(OR($C24="Residential urban land",$C24="Commercial/industrial urban land",$C24="Open urban land",$C24="Greenspace",$C24="Community food growing",$C24="Woodland",$C24="Shrub", $C24="Water"), "|||"&amp;$C24, (VLOOKUP('Stage 2'!$E$9,Lookups!$C$330:$D$330,2,FALSE)&amp;"|"&amp;$C24&amp;"|"&amp;VLOOKUP('Stage 2'!$E$12,Lookups!$C$344:$D$345,2,FALSE)&amp;"|"&amp;VLOOKUP('Stage 2'!$E$11,Lookups!$C$304:$E$326,3,FALSE)&amp;"|"&amp;VLOOKUP($E$10,Lookups!$C$335:$D$340,2,FALSE)))),Lookups!$H$41:$J$300,3,FALSE),
IFERROR(IFERROR($D24*VLOOKUP($C24&amp;"|"&amp;VLOOKUP('Stage 2'!$E$12,Lookups!$C$344:$D$345,2,FALSE)&amp;"|"&amp;VLOOKUP('Stage 2'!$E$11,Lookups!$C$304:$E$326,3,FALSE)&amp;"|"&amp;VLOOKUP($E$10,Lookups!$C$335:$D$340,2,FALSE),Lookups!$H$41:$J$300,3,FALSE),IFERROR($D24*VLOOKUP($C24&amp;"|"&amp;"TRUE"&amp;"|"&amp;VLOOKUP('Stage 2'!$E$11,Lookups!$C$304:$E$326,3,FALSE)&amp;"|"&amp;VLOOKUP($E$10,Lookups!$C$335:$D$340,2,FALSE),Lookups!$H$41:$J$300,3,FALSE),$D24*VLOOKUP($C24&amp;"|"&amp;VLOOKUP('Stage 2'!$E$12,Lookups!$C$344:$D$345,2,FALSE)&amp;"|"&amp;VLOOKUP('Stage 2'!$E$11,Lookups!$C$304:$E$326,3,FALSE)&amp;"|"&amp;"DrainedArGr",Lookups!$H$41:$J$300,3,FALSE))),IFERROR($D24*VLOOKUP($C24&amp;"|"&amp;VLOOKUP('Stage 2'!$E$11,Lookups!$C$304:$E$326,3,FALSE),Lookups!$K$41:$M$292,3,FALSE),$D24*VLOOKUP($C24,Lookups!$D$41:$O$292,12,FALSE)))))</f>
        <v/>
      </c>
      <c r="G24" s="161"/>
    </row>
    <row r="25" spans="1:10" x14ac:dyDescent="0.3">
      <c r="A25" s="142"/>
      <c r="B25" s="1"/>
      <c r="C25" s="109"/>
      <c r="D25" s="110"/>
      <c r="E25" s="199" t="str">
        <f>IF(OR(ISBLANK($C25),ISBLANK($D25),ISBLANK($E$10),ISBLANK($E$11)),"",IFERROR($D25*VLOOKUP((IF(OR($C25="Residential urban land",$C25="Commercial/industrial urban land",$C25="Open urban land",$C25="Greenspace",$C25="Community food growing",$C25="Woodland",$C25="Shrub", $C25="Water"), "|||"&amp;$C25, (VLOOKUP('Stage 2'!$E$9,Lookups!$C$330:$D$330,2,FALSE)&amp;"|"&amp;$C25&amp;"|"&amp;VLOOKUP('Stage 2'!$E$12,Lookups!$C$344:$D$345,2,FALSE)&amp;"|"&amp;VLOOKUP('Stage 2'!$E$11,Lookups!$C$304:$E$326,3,FALSE)&amp;"|"&amp;VLOOKUP($E$10,Lookups!$C$335:$D$340,2,FALSE)))),Lookups!$H$41:$J$300,2,FALSE),
IFERROR(IFERROR($D25*VLOOKUP($C25&amp;"|"&amp;VLOOKUP('Stage 2'!$E$12,Lookups!$C$344:$D$345,2,FALSE)&amp;"|"&amp;VLOOKUP('Stage 2'!$E$11,Lookups!$C$304:$E$326,3,FALSE)&amp;"|"&amp;VLOOKUP($E$10,Lookups!$C$335:$D$340,2,FALSE),Lookups!$H$41:$J$300,2,FALSE),IFERROR($D25*VLOOKUP($C25&amp;"|"&amp;"TRUE"&amp;"|"&amp;VLOOKUP('Stage 2'!$E$11,Lookups!$C$304:$E$326,3,FALSE)&amp;"|"&amp;VLOOKUP($E$10,Lookups!$C$335:$D$340,2,FALSE),Lookups!$H$41:$J$300,2,FALSE),$D25*VLOOKUP($C25&amp;"|"&amp;VLOOKUP('Stage 2'!$E$12,Lookups!$C$344:$D$345,2,FALSE)&amp;"|"&amp;VLOOKUP('Stage 2'!$E$11,Lookups!$C$304:$E$326,3,FALSE)&amp;"|"&amp;"DrainedArGr",Lookups!$H$41:$J$300,2,FALSE))),IFERROR($D25*VLOOKUP($C25&amp;"|"&amp;VLOOKUP('Stage 2'!$E$11,Lookups!$C$304:$E$326,3,FALSE),Lookups!$K$41:$M$292,2,FALSE),$D25*VLOOKUP($C25,Lookups!$D$41:$O$292,11,FALSE)))))</f>
        <v/>
      </c>
      <c r="F25" s="186" t="str">
        <f>IF(OR(ISBLANK($C25),ISBLANK($D25),ISBLANK($E$10),ISBLANK($E$11)),"",IFERROR($D25*VLOOKUP((IF(OR($C25="Residential urban land",$C25="Commercial/industrial urban land",$C25="Open urban land",$C25="Greenspace",$C25="Community food growing",$C25="Woodland",$C25="Shrub", $C25="Water"), "|||"&amp;$C25, (VLOOKUP('Stage 2'!$E$9,Lookups!$C$330:$D$330,2,FALSE)&amp;"|"&amp;$C25&amp;"|"&amp;VLOOKUP('Stage 2'!$E$12,Lookups!$C$344:$D$345,2,FALSE)&amp;"|"&amp;VLOOKUP('Stage 2'!$E$11,Lookups!$C$304:$E$326,3,FALSE)&amp;"|"&amp;VLOOKUP($E$10,Lookups!$C$335:$D$340,2,FALSE)))),Lookups!$H$41:$J$300,3,FALSE),
IFERROR(IFERROR($D25*VLOOKUP($C25&amp;"|"&amp;VLOOKUP('Stage 2'!$E$12,Lookups!$C$344:$D$345,2,FALSE)&amp;"|"&amp;VLOOKUP('Stage 2'!$E$11,Lookups!$C$304:$E$326,3,FALSE)&amp;"|"&amp;VLOOKUP($E$10,Lookups!$C$335:$D$340,2,FALSE),Lookups!$H$41:$J$300,3,FALSE),IFERROR($D25*VLOOKUP($C25&amp;"|"&amp;"TRUE"&amp;"|"&amp;VLOOKUP('Stage 2'!$E$11,Lookups!$C$304:$E$326,3,FALSE)&amp;"|"&amp;VLOOKUP($E$10,Lookups!$C$335:$D$340,2,FALSE),Lookups!$H$41:$J$300,3,FALSE),$D25*VLOOKUP($C25&amp;"|"&amp;VLOOKUP('Stage 2'!$E$12,Lookups!$C$344:$D$345,2,FALSE)&amp;"|"&amp;VLOOKUP('Stage 2'!$E$11,Lookups!$C$304:$E$326,3,FALSE)&amp;"|"&amp;"DrainedArGr",Lookups!$H$41:$J$300,3,FALSE))),IFERROR($D25*VLOOKUP($C25&amp;"|"&amp;VLOOKUP('Stage 2'!$E$11,Lookups!$C$304:$E$326,3,FALSE),Lookups!$K$41:$M$292,3,FALSE),$D25*VLOOKUP($C25,Lookups!$D$41:$O$292,12,FALSE)))))</f>
        <v/>
      </c>
      <c r="G25" s="161"/>
    </row>
    <row r="26" spans="1:10" x14ac:dyDescent="0.3">
      <c r="A26" s="142"/>
      <c r="B26" s="1"/>
      <c r="C26" s="109"/>
      <c r="D26" s="110"/>
      <c r="E26" s="199" t="str">
        <f>IF(OR(ISBLANK($C26),ISBLANK($D26),ISBLANK($E$10),ISBLANK($E$11)),"",IFERROR($D26*VLOOKUP((IF(OR($C26="Residential urban land",$C26="Commercial/industrial urban land",$C26="Open urban land",$C26="Greenspace",$C26="Community food growing",$C26="Woodland",$C26="Shrub", $C26="Water"), "|||"&amp;$C26, (VLOOKUP('Stage 2'!$E$9,Lookups!$C$330:$D$330,2,FALSE)&amp;"|"&amp;$C26&amp;"|"&amp;VLOOKUP('Stage 2'!$E$12,Lookups!$C$344:$D$345,2,FALSE)&amp;"|"&amp;VLOOKUP('Stage 2'!$E$11,Lookups!$C$304:$E$326,3,FALSE)&amp;"|"&amp;VLOOKUP($E$10,Lookups!$C$335:$D$340,2,FALSE)))),Lookups!$H$41:$J$300,2,FALSE),
IFERROR(IFERROR($D26*VLOOKUP($C26&amp;"|"&amp;VLOOKUP('Stage 2'!$E$12,Lookups!$C$344:$D$345,2,FALSE)&amp;"|"&amp;VLOOKUP('Stage 2'!$E$11,Lookups!$C$304:$E$326,3,FALSE)&amp;"|"&amp;VLOOKUP($E$10,Lookups!$C$335:$D$340,2,FALSE),Lookups!$H$41:$J$300,2,FALSE),IFERROR($D26*VLOOKUP($C26&amp;"|"&amp;"TRUE"&amp;"|"&amp;VLOOKUP('Stage 2'!$E$11,Lookups!$C$304:$E$326,3,FALSE)&amp;"|"&amp;VLOOKUP($E$10,Lookups!$C$335:$D$340,2,FALSE),Lookups!$H$41:$J$300,2,FALSE),$D26*VLOOKUP($C26&amp;"|"&amp;VLOOKUP('Stage 2'!$E$12,Lookups!$C$344:$D$345,2,FALSE)&amp;"|"&amp;VLOOKUP('Stage 2'!$E$11,Lookups!$C$304:$E$326,3,FALSE)&amp;"|"&amp;"DrainedArGr",Lookups!$H$41:$J$300,2,FALSE))),IFERROR($D26*VLOOKUP($C26&amp;"|"&amp;VLOOKUP('Stage 2'!$E$11,Lookups!$C$304:$E$326,3,FALSE),Lookups!$K$41:$M$292,2,FALSE),$D26*VLOOKUP($C26,Lookups!$D$41:$O$292,11,FALSE)))))</f>
        <v/>
      </c>
      <c r="F26" s="186" t="str">
        <f>IF(OR(ISBLANK($C26),ISBLANK($D26),ISBLANK($E$10),ISBLANK($E$11)),"",IFERROR($D26*VLOOKUP((IF(OR($C26="Residential urban land",$C26="Commercial/industrial urban land",$C26="Open urban land",$C26="Greenspace",$C26="Community food growing",$C26="Woodland",$C26="Shrub", $C26="Water"), "|||"&amp;$C26, (VLOOKUP('Stage 2'!$E$9,Lookups!$C$330:$D$330,2,FALSE)&amp;"|"&amp;$C26&amp;"|"&amp;VLOOKUP('Stage 2'!$E$12,Lookups!$C$344:$D$345,2,FALSE)&amp;"|"&amp;VLOOKUP('Stage 2'!$E$11,Lookups!$C$304:$E$326,3,FALSE)&amp;"|"&amp;VLOOKUP($E$10,Lookups!$C$335:$D$340,2,FALSE)))),Lookups!$H$41:$J$300,3,FALSE),
IFERROR(IFERROR($D26*VLOOKUP($C26&amp;"|"&amp;VLOOKUP('Stage 2'!$E$12,Lookups!$C$344:$D$345,2,FALSE)&amp;"|"&amp;VLOOKUP('Stage 2'!$E$11,Lookups!$C$304:$E$326,3,FALSE)&amp;"|"&amp;VLOOKUP($E$10,Lookups!$C$335:$D$340,2,FALSE),Lookups!$H$41:$J$300,3,FALSE),IFERROR($D26*VLOOKUP($C26&amp;"|"&amp;"TRUE"&amp;"|"&amp;VLOOKUP('Stage 2'!$E$11,Lookups!$C$304:$E$326,3,FALSE)&amp;"|"&amp;VLOOKUP($E$10,Lookups!$C$335:$D$340,2,FALSE),Lookups!$H$41:$J$300,3,FALSE),$D26*VLOOKUP($C26&amp;"|"&amp;VLOOKUP('Stage 2'!$E$12,Lookups!$C$344:$D$345,2,FALSE)&amp;"|"&amp;VLOOKUP('Stage 2'!$E$11,Lookups!$C$304:$E$326,3,FALSE)&amp;"|"&amp;"DrainedArGr",Lookups!$H$41:$J$300,3,FALSE))),IFERROR($D26*VLOOKUP($C26&amp;"|"&amp;VLOOKUP('Stage 2'!$E$11,Lookups!$C$304:$E$326,3,FALSE),Lookups!$K$41:$M$292,3,FALSE),$D26*VLOOKUP($C26,Lookups!$D$41:$O$292,12,FALSE)))))</f>
        <v/>
      </c>
      <c r="G26" s="161"/>
    </row>
    <row r="27" spans="1:10" x14ac:dyDescent="0.3">
      <c r="A27" s="142"/>
      <c r="B27" s="1"/>
      <c r="C27" s="109"/>
      <c r="D27" s="110"/>
      <c r="E27" s="199" t="str">
        <f>IF(OR(ISBLANK($C27),ISBLANK($D27),ISBLANK($E$10),ISBLANK($E$11)),"",IFERROR($D27*VLOOKUP((IF(OR($C27="Residential urban land",$C27="Commercial/industrial urban land",$C27="Open urban land",$C27="Greenspace",$C27="Community food growing",$C27="Woodland",$C27="Shrub", $C27="Water"), "|||"&amp;$C27, (VLOOKUP('Stage 2'!$E$9,Lookups!$C$330:$D$330,2,FALSE)&amp;"|"&amp;$C27&amp;"|"&amp;VLOOKUP('Stage 2'!$E$12,Lookups!$C$344:$D$345,2,FALSE)&amp;"|"&amp;VLOOKUP('Stage 2'!$E$11,Lookups!$C$304:$E$326,3,FALSE)&amp;"|"&amp;VLOOKUP($E$10,Lookups!$C$335:$D$340,2,FALSE)))),Lookups!$H$41:$J$300,2,FALSE),
IFERROR(IFERROR($D27*VLOOKUP($C27&amp;"|"&amp;VLOOKUP('Stage 2'!$E$12,Lookups!$C$344:$D$345,2,FALSE)&amp;"|"&amp;VLOOKUP('Stage 2'!$E$11,Lookups!$C$304:$E$326,3,FALSE)&amp;"|"&amp;VLOOKUP($E$10,Lookups!$C$335:$D$340,2,FALSE),Lookups!$H$41:$J$300,2,FALSE),IFERROR($D27*VLOOKUP($C27&amp;"|"&amp;"TRUE"&amp;"|"&amp;VLOOKUP('Stage 2'!$E$11,Lookups!$C$304:$E$326,3,FALSE)&amp;"|"&amp;VLOOKUP($E$10,Lookups!$C$335:$D$340,2,FALSE),Lookups!$H$41:$J$300,2,FALSE),$D27*VLOOKUP($C27&amp;"|"&amp;VLOOKUP('Stage 2'!$E$12,Lookups!$C$344:$D$345,2,FALSE)&amp;"|"&amp;VLOOKUP('Stage 2'!$E$11,Lookups!$C$304:$E$326,3,FALSE)&amp;"|"&amp;"DrainedArGr",Lookups!$H$41:$J$300,2,FALSE))),IFERROR($D27*VLOOKUP($C27&amp;"|"&amp;VLOOKUP('Stage 2'!$E$11,Lookups!$C$304:$E$326,3,FALSE),Lookups!$K$41:$M$292,2,FALSE),$D27*VLOOKUP($C27,Lookups!$D$41:$O$292,11,FALSE)))))</f>
        <v/>
      </c>
      <c r="F27" s="186" t="str">
        <f>IF(OR(ISBLANK($C27),ISBLANK($D27),ISBLANK($E$10),ISBLANK($E$11)),"",IFERROR($D27*VLOOKUP((IF(OR($C27="Residential urban land",$C27="Commercial/industrial urban land",$C27="Open urban land",$C27="Greenspace",$C27="Community food growing",$C27="Woodland",$C27="Shrub", $C27="Water"), "|||"&amp;$C27, (VLOOKUP('Stage 2'!$E$9,Lookups!$C$330:$D$330,2,FALSE)&amp;"|"&amp;$C27&amp;"|"&amp;VLOOKUP('Stage 2'!$E$12,Lookups!$C$344:$D$345,2,FALSE)&amp;"|"&amp;VLOOKUP('Stage 2'!$E$11,Lookups!$C$304:$E$326,3,FALSE)&amp;"|"&amp;VLOOKUP($E$10,Lookups!$C$335:$D$340,2,FALSE)))),Lookups!$H$41:$J$300,3,FALSE),
IFERROR(IFERROR($D27*VLOOKUP($C27&amp;"|"&amp;VLOOKUP('Stage 2'!$E$12,Lookups!$C$344:$D$345,2,FALSE)&amp;"|"&amp;VLOOKUP('Stage 2'!$E$11,Lookups!$C$304:$E$326,3,FALSE)&amp;"|"&amp;VLOOKUP($E$10,Lookups!$C$335:$D$340,2,FALSE),Lookups!$H$41:$J$300,3,FALSE),IFERROR($D27*VLOOKUP($C27&amp;"|"&amp;"TRUE"&amp;"|"&amp;VLOOKUP('Stage 2'!$E$11,Lookups!$C$304:$E$326,3,FALSE)&amp;"|"&amp;VLOOKUP($E$10,Lookups!$C$335:$D$340,2,FALSE),Lookups!$H$41:$J$300,3,FALSE),$D27*VLOOKUP($C27&amp;"|"&amp;VLOOKUP('Stage 2'!$E$12,Lookups!$C$344:$D$345,2,FALSE)&amp;"|"&amp;VLOOKUP('Stage 2'!$E$11,Lookups!$C$304:$E$326,3,FALSE)&amp;"|"&amp;"DrainedArGr",Lookups!$H$41:$J$300,3,FALSE))),IFERROR($D27*VLOOKUP($C27&amp;"|"&amp;VLOOKUP('Stage 2'!$E$11,Lookups!$C$304:$E$326,3,FALSE),Lookups!$K$41:$M$292,3,FALSE),$D27*VLOOKUP($C27,Lookups!$D$41:$O$292,12,FALSE)))))</f>
        <v/>
      </c>
      <c r="G27" s="161"/>
    </row>
    <row r="28" spans="1:10" x14ac:dyDescent="0.3">
      <c r="A28" s="142"/>
      <c r="B28" s="1"/>
      <c r="C28" s="109"/>
      <c r="D28" s="110"/>
      <c r="E28" s="199" t="str">
        <f>IF(OR(ISBLANK($C28),ISBLANK($D28),ISBLANK($E$10),ISBLANK($E$11)),"",IFERROR($D28*VLOOKUP((IF(OR($C28="Residential urban land",$C28="Commercial/industrial urban land",$C28="Open urban land",$C28="Greenspace",$C28="Community food growing",$C28="Woodland",$C28="Shrub", $C28="Water"), "|||"&amp;$C28, (VLOOKUP('Stage 2'!$E$9,Lookups!$C$330:$D$330,2,FALSE)&amp;"|"&amp;$C28&amp;"|"&amp;VLOOKUP('Stage 2'!$E$12,Lookups!$C$344:$D$345,2,FALSE)&amp;"|"&amp;VLOOKUP('Stage 2'!$E$11,Lookups!$C$304:$E$326,3,FALSE)&amp;"|"&amp;VLOOKUP($E$10,Lookups!$C$335:$D$340,2,FALSE)))),Lookups!$H$41:$J$300,2,FALSE),
IFERROR(IFERROR($D28*VLOOKUP($C28&amp;"|"&amp;VLOOKUP('Stage 2'!$E$12,Lookups!$C$344:$D$345,2,FALSE)&amp;"|"&amp;VLOOKUP('Stage 2'!$E$11,Lookups!$C$304:$E$326,3,FALSE)&amp;"|"&amp;VLOOKUP($E$10,Lookups!$C$335:$D$340,2,FALSE),Lookups!$H$41:$J$300,2,FALSE),IFERROR($D28*VLOOKUP($C28&amp;"|"&amp;"TRUE"&amp;"|"&amp;VLOOKUP('Stage 2'!$E$11,Lookups!$C$304:$E$326,3,FALSE)&amp;"|"&amp;VLOOKUP($E$10,Lookups!$C$335:$D$340,2,FALSE),Lookups!$H$41:$J$300,2,FALSE),$D28*VLOOKUP($C28&amp;"|"&amp;VLOOKUP('Stage 2'!$E$12,Lookups!$C$344:$D$345,2,FALSE)&amp;"|"&amp;VLOOKUP('Stage 2'!$E$11,Lookups!$C$304:$E$326,3,FALSE)&amp;"|"&amp;"DrainedArGr",Lookups!$H$41:$J$300,2,FALSE))),IFERROR($D28*VLOOKUP($C28&amp;"|"&amp;VLOOKUP('Stage 2'!$E$11,Lookups!$C$304:$E$326,3,FALSE),Lookups!$K$41:$M$292,2,FALSE),$D28*VLOOKUP($C28,Lookups!$D$41:$O$292,11,FALSE)))))</f>
        <v/>
      </c>
      <c r="F28" s="186" t="str">
        <f>IF(OR(ISBLANK($C28),ISBLANK($D28),ISBLANK($E$10),ISBLANK($E$11)),"",IFERROR($D28*VLOOKUP((IF(OR($C28="Residential urban land",$C28="Commercial/industrial urban land",$C28="Open urban land",$C28="Greenspace",$C28="Community food growing",$C28="Woodland",$C28="Shrub", $C28="Water"), "|||"&amp;$C28, (VLOOKUP('Stage 2'!$E$9,Lookups!$C$330:$D$330,2,FALSE)&amp;"|"&amp;$C28&amp;"|"&amp;VLOOKUP('Stage 2'!$E$12,Lookups!$C$344:$D$345,2,FALSE)&amp;"|"&amp;VLOOKUP('Stage 2'!$E$11,Lookups!$C$304:$E$326,3,FALSE)&amp;"|"&amp;VLOOKUP($E$10,Lookups!$C$335:$D$340,2,FALSE)))),Lookups!$H$41:$J$300,3,FALSE),
IFERROR(IFERROR($D28*VLOOKUP($C28&amp;"|"&amp;VLOOKUP('Stage 2'!$E$12,Lookups!$C$344:$D$345,2,FALSE)&amp;"|"&amp;VLOOKUP('Stage 2'!$E$11,Lookups!$C$304:$E$326,3,FALSE)&amp;"|"&amp;VLOOKUP($E$10,Lookups!$C$335:$D$340,2,FALSE),Lookups!$H$41:$J$300,3,FALSE),IFERROR($D28*VLOOKUP($C28&amp;"|"&amp;"TRUE"&amp;"|"&amp;VLOOKUP('Stage 2'!$E$11,Lookups!$C$304:$E$326,3,FALSE)&amp;"|"&amp;VLOOKUP($E$10,Lookups!$C$335:$D$340,2,FALSE),Lookups!$H$41:$J$300,3,FALSE),$D28*VLOOKUP($C28&amp;"|"&amp;VLOOKUP('Stage 2'!$E$12,Lookups!$C$344:$D$345,2,FALSE)&amp;"|"&amp;VLOOKUP('Stage 2'!$E$11,Lookups!$C$304:$E$326,3,FALSE)&amp;"|"&amp;"DrainedArGr",Lookups!$H$41:$J$300,3,FALSE))),IFERROR($D28*VLOOKUP($C28&amp;"|"&amp;VLOOKUP('Stage 2'!$E$11,Lookups!$C$304:$E$326,3,FALSE),Lookups!$K$41:$M$292,3,FALSE),$D28*VLOOKUP($C28,Lookups!$D$41:$O$292,12,FALSE)))))</f>
        <v/>
      </c>
      <c r="G28" s="161"/>
      <c r="I28" s="170"/>
    </row>
    <row r="29" spans="1:10" x14ac:dyDescent="0.3">
      <c r="A29" s="142"/>
      <c r="B29" s="1"/>
      <c r="C29" s="109"/>
      <c r="D29" s="110"/>
      <c r="E29" s="199" t="str">
        <f>IF(OR(ISBLANK($C29),ISBLANK($D29),ISBLANK($E$10),ISBLANK($E$11)),"",IFERROR($D29*VLOOKUP((IF(OR($C29="Residential urban land",$C29="Commercial/industrial urban land",$C29="Open urban land",$C29="Greenspace",$C29="Community food growing",$C29="Woodland",$C29="Shrub", $C29="Water"), "|||"&amp;$C29, (VLOOKUP('Stage 2'!$E$9,Lookups!$C$330:$D$330,2,FALSE)&amp;"|"&amp;$C29&amp;"|"&amp;VLOOKUP('Stage 2'!$E$12,Lookups!$C$344:$D$345,2,FALSE)&amp;"|"&amp;VLOOKUP('Stage 2'!$E$11,Lookups!$C$304:$E$326,3,FALSE)&amp;"|"&amp;VLOOKUP($E$10,Lookups!$C$335:$D$340,2,FALSE)))),Lookups!$H$41:$J$300,2,FALSE),
IFERROR(IFERROR($D29*VLOOKUP($C29&amp;"|"&amp;VLOOKUP('Stage 2'!$E$12,Lookups!$C$344:$D$345,2,FALSE)&amp;"|"&amp;VLOOKUP('Stage 2'!$E$11,Lookups!$C$304:$E$326,3,FALSE)&amp;"|"&amp;VLOOKUP($E$10,Lookups!$C$335:$D$340,2,FALSE),Lookups!$H$41:$J$300,2,FALSE),IFERROR($D29*VLOOKUP($C29&amp;"|"&amp;"TRUE"&amp;"|"&amp;VLOOKUP('Stage 2'!$E$11,Lookups!$C$304:$E$326,3,FALSE)&amp;"|"&amp;VLOOKUP($E$10,Lookups!$C$335:$D$340,2,FALSE),Lookups!$H$41:$J$300,2,FALSE),$D29*VLOOKUP($C29&amp;"|"&amp;VLOOKUP('Stage 2'!$E$12,Lookups!$C$344:$D$345,2,FALSE)&amp;"|"&amp;VLOOKUP('Stage 2'!$E$11,Lookups!$C$304:$E$326,3,FALSE)&amp;"|"&amp;"DrainedArGr",Lookups!$H$41:$J$300,2,FALSE))),IFERROR($D29*VLOOKUP($C29&amp;"|"&amp;VLOOKUP('Stage 2'!$E$11,Lookups!$C$304:$E$326,3,FALSE),Lookups!$K$41:$M$292,2,FALSE),$D29*VLOOKUP($C29,Lookups!$D$41:$O$292,11,FALSE)))))</f>
        <v/>
      </c>
      <c r="F29" s="186" t="str">
        <f>IF(OR(ISBLANK($C29),ISBLANK($D29),ISBLANK($E$10),ISBLANK($E$11)),"",IFERROR($D29*VLOOKUP((IF(OR($C29="Residential urban land",$C29="Commercial/industrial urban land",$C29="Open urban land",$C29="Greenspace",$C29="Community food growing",$C29="Woodland",$C29="Shrub", $C29="Water"), "|||"&amp;$C29, (VLOOKUP('Stage 2'!$E$9,Lookups!$C$330:$D$330,2,FALSE)&amp;"|"&amp;$C29&amp;"|"&amp;VLOOKUP('Stage 2'!$E$12,Lookups!$C$344:$D$345,2,FALSE)&amp;"|"&amp;VLOOKUP('Stage 2'!$E$11,Lookups!$C$304:$E$326,3,FALSE)&amp;"|"&amp;VLOOKUP($E$10,Lookups!$C$335:$D$340,2,FALSE)))),Lookups!$H$41:$J$300,3,FALSE),
IFERROR(IFERROR($D29*VLOOKUP($C29&amp;"|"&amp;VLOOKUP('Stage 2'!$E$12,Lookups!$C$344:$D$345,2,FALSE)&amp;"|"&amp;VLOOKUP('Stage 2'!$E$11,Lookups!$C$304:$E$326,3,FALSE)&amp;"|"&amp;VLOOKUP($E$10,Lookups!$C$335:$D$340,2,FALSE),Lookups!$H$41:$J$300,3,FALSE),IFERROR($D29*VLOOKUP($C29&amp;"|"&amp;"TRUE"&amp;"|"&amp;VLOOKUP('Stage 2'!$E$11,Lookups!$C$304:$E$326,3,FALSE)&amp;"|"&amp;VLOOKUP($E$10,Lookups!$C$335:$D$340,2,FALSE),Lookups!$H$41:$J$300,3,FALSE),$D29*VLOOKUP($C29&amp;"|"&amp;VLOOKUP('Stage 2'!$E$12,Lookups!$C$344:$D$345,2,FALSE)&amp;"|"&amp;VLOOKUP('Stage 2'!$E$11,Lookups!$C$304:$E$326,3,FALSE)&amp;"|"&amp;"DrainedArGr",Lookups!$H$41:$J$300,3,FALSE))),IFERROR($D29*VLOOKUP($C29&amp;"|"&amp;VLOOKUP('Stage 2'!$E$11,Lookups!$C$304:$E$326,3,FALSE),Lookups!$K$41:$M$292,3,FALSE),$D29*VLOOKUP($C29,Lookups!$D$41:$O$292,12,FALSE)))))</f>
        <v/>
      </c>
      <c r="G29" s="161"/>
    </row>
    <row r="30" spans="1:10" x14ac:dyDescent="0.3">
      <c r="A30" s="142"/>
      <c r="B30" s="1"/>
      <c r="C30" s="109"/>
      <c r="D30" s="110"/>
      <c r="E30" s="199" t="str">
        <f>IF(OR(ISBLANK($C30),ISBLANK($D30),ISBLANK($E$10),ISBLANK($E$11)),"",IFERROR($D30*VLOOKUP((IF(OR($C30="Residential urban land",$C30="Commercial/industrial urban land",$C30="Open urban land",$C30="Greenspace",$C30="Community food growing",$C30="Woodland",$C30="Shrub", $C30="Water"), "|||"&amp;$C30, (VLOOKUP('Stage 2'!$E$9,Lookups!$C$330:$D$330,2,FALSE)&amp;"|"&amp;$C30&amp;"|"&amp;VLOOKUP('Stage 2'!$E$12,Lookups!$C$344:$D$345,2,FALSE)&amp;"|"&amp;VLOOKUP('Stage 2'!$E$11,Lookups!$C$304:$E$326,3,FALSE)&amp;"|"&amp;VLOOKUP($E$10,Lookups!$C$335:$D$340,2,FALSE)))),Lookups!$H$41:$J$300,2,FALSE),
IFERROR(IFERROR($D30*VLOOKUP($C30&amp;"|"&amp;VLOOKUP('Stage 2'!$E$12,Lookups!$C$344:$D$345,2,FALSE)&amp;"|"&amp;VLOOKUP('Stage 2'!$E$11,Lookups!$C$304:$E$326,3,FALSE)&amp;"|"&amp;VLOOKUP($E$10,Lookups!$C$335:$D$340,2,FALSE),Lookups!$H$41:$J$300,2,FALSE),IFERROR($D30*VLOOKUP($C30&amp;"|"&amp;"TRUE"&amp;"|"&amp;VLOOKUP('Stage 2'!$E$11,Lookups!$C$304:$E$326,3,FALSE)&amp;"|"&amp;VLOOKUP($E$10,Lookups!$C$335:$D$340,2,FALSE),Lookups!$H$41:$J$300,2,FALSE),$D30*VLOOKUP($C30&amp;"|"&amp;VLOOKUP('Stage 2'!$E$12,Lookups!$C$344:$D$345,2,FALSE)&amp;"|"&amp;VLOOKUP('Stage 2'!$E$11,Lookups!$C$304:$E$326,3,FALSE)&amp;"|"&amp;"DrainedArGr",Lookups!$H$41:$J$300,2,FALSE))),IFERROR($D30*VLOOKUP($C30&amp;"|"&amp;VLOOKUP('Stage 2'!$E$11,Lookups!$C$304:$E$326,3,FALSE),Lookups!$K$41:$M$292,2,FALSE),$D30*VLOOKUP($C30,Lookups!$D$41:$O$292,11,FALSE)))))</f>
        <v/>
      </c>
      <c r="F30" s="186" t="str">
        <f>IF(OR(ISBLANK($C30),ISBLANK($D30),ISBLANK($E$10),ISBLANK($E$11)),"",IFERROR($D30*VLOOKUP((IF(OR($C30="Residential urban land",$C30="Commercial/industrial urban land",$C30="Open urban land",$C30="Greenspace",$C30="Community food growing",$C30="Woodland",$C30="Shrub", $C30="Water"), "|||"&amp;$C30, (VLOOKUP('Stage 2'!$E$9,Lookups!$C$330:$D$330,2,FALSE)&amp;"|"&amp;$C30&amp;"|"&amp;VLOOKUP('Stage 2'!$E$12,Lookups!$C$344:$D$345,2,FALSE)&amp;"|"&amp;VLOOKUP('Stage 2'!$E$11,Lookups!$C$304:$E$326,3,FALSE)&amp;"|"&amp;VLOOKUP($E$10,Lookups!$C$335:$D$340,2,FALSE)))),Lookups!$H$41:$J$300,3,FALSE),
IFERROR(IFERROR($D30*VLOOKUP($C30&amp;"|"&amp;VLOOKUP('Stage 2'!$E$12,Lookups!$C$344:$D$345,2,FALSE)&amp;"|"&amp;VLOOKUP('Stage 2'!$E$11,Lookups!$C$304:$E$326,3,FALSE)&amp;"|"&amp;VLOOKUP($E$10,Lookups!$C$335:$D$340,2,FALSE),Lookups!$H$41:$J$300,3,FALSE),IFERROR($D30*VLOOKUP($C30&amp;"|"&amp;"TRUE"&amp;"|"&amp;VLOOKUP('Stage 2'!$E$11,Lookups!$C$304:$E$326,3,FALSE)&amp;"|"&amp;VLOOKUP($E$10,Lookups!$C$335:$D$340,2,FALSE),Lookups!$H$41:$J$300,3,FALSE),$D30*VLOOKUP($C30&amp;"|"&amp;VLOOKUP('Stage 2'!$E$12,Lookups!$C$344:$D$345,2,FALSE)&amp;"|"&amp;VLOOKUP('Stage 2'!$E$11,Lookups!$C$304:$E$326,3,FALSE)&amp;"|"&amp;"DrainedArGr",Lookups!$H$41:$J$300,3,FALSE))),IFERROR($D30*VLOOKUP($C30&amp;"|"&amp;VLOOKUP('Stage 2'!$E$11,Lookups!$C$304:$E$326,3,FALSE),Lookups!$K$41:$M$292,3,FALSE),$D30*VLOOKUP($C30,Lookups!$D$41:$O$292,12,FALSE)))))</f>
        <v/>
      </c>
      <c r="G30" s="161"/>
    </row>
    <row r="31" spans="1:10" ht="15" thickBot="1" x14ac:dyDescent="0.35">
      <c r="A31" s="142"/>
      <c r="B31" s="1"/>
      <c r="C31" s="109"/>
      <c r="D31" s="111"/>
      <c r="E31" s="200" t="str">
        <f>IF(OR(ISBLANK($C31),ISBLANK($D31),ISBLANK($E$10),ISBLANK($E$11)),"",IFERROR($D31*VLOOKUP((IF(OR($C31="Residential urban land",$C31="Commercial/industrial urban land",$C31="Open urban land",$C31="Greenspace",$C31="Community food growing",$C31="Woodland",$C31="Shrub", $C31="Water"), "|||"&amp;$C31, (VLOOKUP('Stage 2'!$E$9,Lookups!$C$330:$D$330,2,FALSE)&amp;"|"&amp;$C31&amp;"|"&amp;VLOOKUP('Stage 2'!$E$12,Lookups!$C$344:$D$345,2,FALSE)&amp;"|"&amp;VLOOKUP('Stage 2'!$E$11,Lookups!$C$304:$E$326,3,FALSE)&amp;"|"&amp;VLOOKUP($E$10,Lookups!$C$335:$D$340,2,FALSE)))),Lookups!$H$41:$J$300,2,FALSE),
IFERROR(IFERROR($D31*VLOOKUP($C31&amp;"|"&amp;VLOOKUP('Stage 2'!$E$12,Lookups!$C$344:$D$345,2,FALSE)&amp;"|"&amp;VLOOKUP('Stage 2'!$E$11,Lookups!$C$304:$E$326,3,FALSE)&amp;"|"&amp;VLOOKUP($E$10,Lookups!$C$335:$D$340,2,FALSE),Lookups!$H$41:$J$300,2,FALSE),IFERROR($D31*VLOOKUP($C31&amp;"|"&amp;"TRUE"&amp;"|"&amp;VLOOKUP('Stage 2'!$E$11,Lookups!$C$304:$E$326,3,FALSE)&amp;"|"&amp;VLOOKUP($E$10,Lookups!$C$335:$D$340,2,FALSE),Lookups!$H$41:$J$300,2,FALSE),$D31*VLOOKUP($C31&amp;"|"&amp;VLOOKUP('Stage 2'!$E$12,Lookups!$C$344:$D$345,2,FALSE)&amp;"|"&amp;VLOOKUP('Stage 2'!$E$11,Lookups!$C$304:$E$326,3,FALSE)&amp;"|"&amp;"DrainedArGr",Lookups!$H$41:$J$300,2,FALSE))),IFERROR($D31*VLOOKUP($C31&amp;"|"&amp;VLOOKUP('Stage 2'!$E$11,Lookups!$C$304:$E$326,3,FALSE),Lookups!$K$41:$M$292,2,FALSE),$D31*VLOOKUP($C31,Lookups!$D$41:$O$292,11,FALSE)))))</f>
        <v/>
      </c>
      <c r="F31" s="123" t="str">
        <f>IF(OR(ISBLANK($C31),ISBLANK($D31),ISBLANK($E$10),ISBLANK($E$11)),"",IFERROR($D31*VLOOKUP((IF(OR($C31="Residential urban land",$C31="Commercial/industrial urban land",$C31="Open urban land",$C31="Greenspace",$C31="Community food growing",$C31="Woodland",$C31="Shrub", $C31="Water"), "|||"&amp;$C31, (VLOOKUP('Stage 2'!$E$9,Lookups!$C$330:$D$330,2,FALSE)&amp;"|"&amp;$C31&amp;"|"&amp;VLOOKUP('Stage 2'!$E$12,Lookups!$C$344:$D$345,2,FALSE)&amp;"|"&amp;VLOOKUP('Stage 2'!$E$11,Lookups!$C$304:$E$326,3,FALSE)&amp;"|"&amp;VLOOKUP($E$10,Lookups!$C$335:$D$340,2,FALSE)))),Lookups!$H$41:$J$300,3,FALSE),
IFERROR(IFERROR($D31*VLOOKUP($C31&amp;"|"&amp;VLOOKUP('Stage 2'!$E$12,Lookups!$C$344:$D$345,2,FALSE)&amp;"|"&amp;VLOOKUP('Stage 2'!$E$11,Lookups!$C$304:$E$326,3,FALSE)&amp;"|"&amp;VLOOKUP($E$10,Lookups!$C$335:$D$340,2,FALSE),Lookups!$H$41:$J$300,3,FALSE),IFERROR($D31*VLOOKUP($C31&amp;"|"&amp;"TRUE"&amp;"|"&amp;VLOOKUP('Stage 2'!$E$11,Lookups!$C$304:$E$326,3,FALSE)&amp;"|"&amp;VLOOKUP($E$10,Lookups!$C$335:$D$340,2,FALSE),Lookups!$H$41:$J$300,3,FALSE),$D31*VLOOKUP($C31&amp;"|"&amp;VLOOKUP('Stage 2'!$E$12,Lookups!$C$344:$D$345,2,FALSE)&amp;"|"&amp;VLOOKUP('Stage 2'!$E$11,Lookups!$C$304:$E$326,3,FALSE)&amp;"|"&amp;"DrainedArGr",Lookups!$H$41:$J$300,3,FALSE))),IFERROR($D31*VLOOKUP($C31&amp;"|"&amp;VLOOKUP('Stage 2'!$E$11,Lookups!$C$304:$E$326,3,FALSE),Lookups!$K$41:$M$292,3,FALSE),$D31*VLOOKUP($C31,Lookups!$D$41:$O$292,12,FALSE)))))</f>
        <v/>
      </c>
      <c r="G31" s="161"/>
    </row>
    <row r="32" spans="1:10" x14ac:dyDescent="0.3">
      <c r="A32" s="142"/>
      <c r="B32" s="1"/>
      <c r="C32" s="76" t="s">
        <v>83</v>
      </c>
      <c r="D32" s="102">
        <f>SUM(D15:D31)</f>
        <v>0</v>
      </c>
      <c r="E32" s="185">
        <f>SUM(E15:E31)</f>
        <v>0</v>
      </c>
      <c r="F32" s="197">
        <f>SUM(F15:F31)</f>
        <v>0</v>
      </c>
      <c r="G32" s="126"/>
    </row>
    <row r="33" spans="1:7" ht="15" thickBot="1" x14ac:dyDescent="0.35">
      <c r="A33" s="142"/>
      <c r="B33" s="153"/>
      <c r="C33" s="139"/>
      <c r="D33" s="139"/>
      <c r="E33" s="139"/>
      <c r="F33" s="139"/>
      <c r="G33" s="140"/>
    </row>
    <row r="34" spans="1:7" ht="15" thickTop="1" x14ac:dyDescent="0.3"/>
  </sheetData>
  <sheetProtection algorithmName="SHA-512" hashValue="DFDsjxXWnOQ25zLDKDsv9DdvblbPhxT8bjyr+2DrTDk6emVGtGQz/RPw31CqVNC9Uuwvu0246+iXSeTzgSERQA==" saltValue="VQXLIESchU/9en7emH4a3w==" spinCount="100000" sheet="1" selectLockedCells="1"/>
  <protectedRanges>
    <protectedRange algorithmName="SHA-512" hashValue="6MaqfLmjxE2CMsYMEtptASTKbC7XykMYNd+AlVy+V2v/64BykwcwkRmAkImBIYM0n+Am+TaTWEeHGgFZHNJWgA==" saltValue="1lVOneDC33VcvqS0774YtQ==" spinCount="100000" sqref="E9:E12 C15:D31" name="Range1"/>
  </protectedRanges>
  <mergeCells count="6">
    <mergeCell ref="C12:D12"/>
    <mergeCell ref="C9:D9"/>
    <mergeCell ref="C10:D10"/>
    <mergeCell ref="C11:D11"/>
    <mergeCell ref="B3:G5"/>
    <mergeCell ref="C7:F7"/>
  </mergeCells>
  <dataValidations xWindow="433" yWindow="457" count="1">
    <dataValidation allowBlank="1" showInputMessage="1" showErrorMessage="1" prompt="Please enter area in hectares." sqref="D15:D31" xr:uid="{7A3F0B97-DB05-43E3-94F5-093694D5E348}"/>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xWindow="433" yWindow="457" count="5">
        <x14:dataValidation type="list" operator="greaterThan" allowBlank="1" showInputMessage="1" showErrorMessage="1" errorTitle="Catchment Error" error="Please enter your catchment." prompt="Please enter the Operational Catchment that the development site is within. If unsure Please see the instructions page (Section 3.1) for guidance on how to determine this." xr:uid="{B2B19558-C6B4-46F2-B681-B62D4CF291FE}">
          <x14:formula1>
            <xm:f>Lookups!$D$330</xm:f>
          </x14:formula1>
          <xm:sqref>E9</xm:sqref>
        </x14:dataValidation>
        <x14:dataValidation type="list" allowBlank="1" showInputMessage="1" showErrorMessage="1" errorTitle="Rainfall" error="Rainfall must be entered from the drop down list." prompt="Please enter the annual average rainfall for the development site. If unsure please see the instructions page (Section 3.3) for guidance on how to determine this. If the rainfall volume is not on the list, please select the nearest value." xr:uid="{506A711F-D616-42C7-91D7-47C349233471}">
          <x14:formula1>
            <xm:f>Lookups!$C$306:$C$314</xm:f>
          </x14:formula1>
          <xm:sqref>E11</xm:sqref>
        </x14:dataValidation>
        <x14:dataValidation type="list" showInputMessage="1" showErrorMessage="1" errorTitle="NVZ" error="Please select whether development area is within an NVZ." prompt="Please select whether the development area is within an NVZ. If unsure please see the instructions page (Section 3.4) for guidance on how to determine this. " xr:uid="{9F25A89B-2F33-4BD1-97BD-EA33B22A96BB}">
          <x14:formula1>
            <xm:f>Lookups!$C$344:$C$345</xm:f>
          </x14:formula1>
          <xm:sqref>E12</xm:sqref>
        </x14:dataValidation>
        <x14:dataValidation type="list" operator="greaterThan" allowBlank="1" showInputMessage="1" showErrorMessage="1" errorTitle="Soil drainage type" error="Pleas enter the soil drainage type for the development site." prompt="Please enter the soil drainage type for the development site. If unsure please see the instructions page (Section 3.2) for guidance on how to determine this." xr:uid="{30EB6C55-0D33-4679-BDCD-D3A716B82E75}">
          <x14:formula1>
            <xm:f>Lookups!$C$335:$C$340</xm:f>
          </x14:formula1>
          <xm:sqref>E10</xm:sqref>
        </x14:dataValidation>
        <x14:dataValidation type="list" allowBlank="1" showInputMessage="1" showErrorMessage="1" errorTitle="Landcover" error="Please select all pre exisitng landcover types." prompt="Select exisiting (pre-development) land use types from the drop down list." xr:uid="{F37FF637-0784-4681-9EDC-D542181AA303}">
          <x14:formula1>
            <xm:f>Lookups!$I$330:$I$345</xm:f>
          </x14:formula1>
          <xm:sqref>C15:C31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1268-2FDD-4208-B879-2DF0627A5BBD}">
  <dimension ref="A3:K29"/>
  <sheetViews>
    <sheetView showRowColHeaders="0" zoomScaleNormal="100" workbookViewId="0">
      <selection activeCell="C10" sqref="C10"/>
    </sheetView>
  </sheetViews>
  <sheetFormatPr defaultColWidth="9.109375" defaultRowHeight="14.4" x14ac:dyDescent="0.3"/>
  <cols>
    <col min="1" max="1" width="9.109375" style="141"/>
    <col min="2" max="2" width="4.6640625" style="141" customWidth="1"/>
    <col min="3" max="3" width="32" style="141" customWidth="1"/>
    <col min="4" max="4" width="12.44140625" style="141" customWidth="1"/>
    <col min="5" max="5" width="19.5546875" style="141" customWidth="1"/>
    <col min="6" max="6" width="18.88671875" style="141" hidden="1" customWidth="1"/>
    <col min="7" max="7" width="4.5546875" style="141" customWidth="1"/>
    <col min="8" max="16384" width="9.109375" style="141"/>
  </cols>
  <sheetData>
    <row r="3" spans="1:9" x14ac:dyDescent="0.3">
      <c r="A3" s="142"/>
      <c r="B3" s="275" t="s">
        <v>199</v>
      </c>
      <c r="C3" s="284"/>
      <c r="D3" s="284"/>
      <c r="E3" s="284"/>
      <c r="F3" s="284"/>
      <c r="G3" s="277"/>
    </row>
    <row r="4" spans="1:9" x14ac:dyDescent="0.3">
      <c r="A4" s="142"/>
      <c r="B4" s="275"/>
      <c r="C4" s="284"/>
      <c r="D4" s="284"/>
      <c r="E4" s="284"/>
      <c r="F4" s="284"/>
      <c r="G4" s="277"/>
    </row>
    <row r="5" spans="1:9" x14ac:dyDescent="0.3">
      <c r="A5" s="142"/>
      <c r="B5" s="275"/>
      <c r="C5" s="284"/>
      <c r="D5" s="284"/>
      <c r="E5" s="284"/>
      <c r="F5" s="284"/>
      <c r="G5" s="277"/>
    </row>
    <row r="6" spans="1:9" ht="18" x14ac:dyDescent="0.3">
      <c r="A6" s="142"/>
      <c r="B6" s="4"/>
      <c r="C6" s="1"/>
      <c r="D6" s="1"/>
      <c r="E6" s="1"/>
      <c r="F6" s="1"/>
      <c r="G6" s="151"/>
    </row>
    <row r="7" spans="1:9" ht="18" customHeight="1" x14ac:dyDescent="0.3">
      <c r="A7" s="142"/>
      <c r="B7" s="4"/>
      <c r="C7" s="280" t="s">
        <v>194</v>
      </c>
      <c r="D7" s="280"/>
      <c r="E7" s="280"/>
      <c r="F7" s="280"/>
      <c r="G7" s="150"/>
    </row>
    <row r="8" spans="1:9" x14ac:dyDescent="0.3">
      <c r="A8" s="142"/>
      <c r="B8" s="1"/>
      <c r="C8" s="1"/>
      <c r="D8" s="1"/>
      <c r="E8" s="1"/>
      <c r="F8" s="1"/>
      <c r="G8" s="126"/>
    </row>
    <row r="9" spans="1:9" ht="68.25" customHeight="1" thickBot="1" x14ac:dyDescent="0.35">
      <c r="A9" s="142"/>
      <c r="B9" s="1"/>
      <c r="C9" s="77" t="s">
        <v>143</v>
      </c>
      <c r="D9" s="77" t="s">
        <v>97</v>
      </c>
      <c r="E9" s="196" t="s">
        <v>196</v>
      </c>
      <c r="F9" s="75" t="s">
        <v>203</v>
      </c>
      <c r="G9" s="126"/>
    </row>
    <row r="10" spans="1:9" x14ac:dyDescent="0.3">
      <c r="A10" s="142"/>
      <c r="B10" s="1"/>
      <c r="C10" s="109"/>
      <c r="D10" s="110"/>
      <c r="E10" s="198" t="str">
        <f>IF(OR(ISBLANK(C10),ISBLANK(D10)),"",D10*VLOOKUP((IF(OR(C10="Residential urban land",C10="Commercial/industrial urban land",C10="Open urban land",C10="Greenspace",C10="Community food growing",C10="Woodland",C10="Shrub", C10="Water"), "|||"&amp;C10, (VLOOKUP('Stage 2'!$E$9,Lookups!$C$330:$D$330,2,FALSE)&amp;"|"&amp;C10&amp;"|"&amp;VLOOKUP('Stage 2'!$E$12,Lookups!$C$344:$D$345,2,FALSE)&amp;"|"&amp;VLOOKUP('Stage 2'!$E$11,Lookups!$C$304:$E$326,3,FALSE)&amp;"|"&amp;VLOOKUP('Stage 2'!$E$10,Lookups!$C$335:$E$340,2,FALSE)))),Lookups!$H$41:$J$300,2,FALSE))</f>
        <v/>
      </c>
      <c r="F10" s="78" t="str">
        <f>IF(OR(ISBLANK(C10),ISBLANK(D10)),"",D10*VLOOKUP((IF(OR(C10="Residential urban land",C10="Commercial/industrial urban land",C10="Open urban land",C10="Greenspace",C10="Community food growing",C10="Woodland",C10="Shrub", C10="Water"), "|||"&amp;C10, (VLOOKUP('Stage 2'!$E$9,Lookups!$C$330:$D$330,2,FALSE)&amp;"|"&amp;C10&amp;"|"&amp;VLOOKUP('Stage 2'!$E$12,Lookups!$C$344:$D$345,2,FALSE)&amp;"|"&amp;VLOOKUP('Stage 2'!$E$11,Lookups!$C$304:$E$326,3,FALSE)&amp;"|"&amp;VLOOKUP('Stage 2'!$E$10,Lookups!#REF!,2,FALSE)))),Lookups!$H$41:$J$300,3,FALSE))</f>
        <v/>
      </c>
      <c r="G10" s="126"/>
    </row>
    <row r="11" spans="1:9" x14ac:dyDescent="0.3">
      <c r="A11" s="142"/>
      <c r="B11" s="1"/>
      <c r="C11" s="109"/>
      <c r="D11" s="110"/>
      <c r="E11" s="199" t="str">
        <f>IF(OR(ISBLANK(C11),ISBLANK(D11)),"",D11*VLOOKUP((IF(OR(C11="Residential urban land",C11="Commercial/industrial urban land",C11="Open urban land",C11="Greenspace",C11="Community food growing",C11="Woodland",C11="Shrub", C11="Water"), "|||"&amp;C11, (VLOOKUP('Stage 2'!$E$9,Lookups!$C$330:$D$330,2,FALSE)&amp;"|"&amp;C11&amp;"|"&amp;VLOOKUP('Stage 2'!$E$12,Lookups!$C$344:$D$345,2,FALSE)&amp;"|"&amp;VLOOKUP('Stage 2'!$E$11,Lookups!$C$304:$E$326,3,FALSE)&amp;"|"&amp;VLOOKUP('Stage 2'!$E$10,Lookups!#REF!,2,FALSE)))),Lookups!$H$41:$J$300,2,FALSE))</f>
        <v/>
      </c>
      <c r="F11" s="78" t="str">
        <f>IF(OR(ISBLANK(C11),ISBLANK(D11)),"",D11*VLOOKUP((IF(OR(C11="Residential urban land",C11="Commercial/industrial urban land",C11="Open urban land",C11="Greenspace",C11="Community food growing",C11="Woodland",C11="Shrub", C11="Water"), "|||"&amp;C11, (VLOOKUP('Stage 2'!$E$9,Lookups!$C$330:$D$330,2,FALSE)&amp;"|"&amp;C11&amp;"|"&amp;VLOOKUP('Stage 2'!$E$12,Lookups!$C$344:$D$345,2,FALSE)&amp;"|"&amp;VLOOKUP('Stage 2'!$E$11,Lookups!$C$304:$E$326,3,FALSE)&amp;"|"&amp;VLOOKUP('Stage 2'!$E$10,Lookups!#REF!,2,FALSE)))),Lookups!$H$41:$J$300,3,FALSE))</f>
        <v/>
      </c>
      <c r="G11" s="126"/>
    </row>
    <row r="12" spans="1:9" x14ac:dyDescent="0.3">
      <c r="A12" s="142"/>
      <c r="B12" s="1"/>
      <c r="C12" s="109"/>
      <c r="D12" s="110"/>
      <c r="E12" s="199" t="str">
        <f>IF(OR(ISBLANK(C12),ISBLANK(D12)),"",D12*VLOOKUP((IF(OR(C12="Residential urban land",C12="Commercial/industrial urban land",C12="Open urban land",C12="Greenspace",C12="Community food growing",C12="Woodland",C12="Shrub", C12="Water"), "|||"&amp;C12, (VLOOKUP('Stage 2'!$E$9,Lookups!$C$330:$D$330,2,FALSE)&amp;"|"&amp;C12&amp;"|"&amp;VLOOKUP('Stage 2'!$E$12,Lookups!$C$344:$D$345,2,FALSE)&amp;"|"&amp;VLOOKUP('Stage 2'!$E$11,Lookups!$C$304:$E$326,3,FALSE)&amp;"|"&amp;VLOOKUP('Stage 2'!$E$10,Lookups!#REF!,2,FALSE)))),Lookups!$H$41:$J$300,2,FALSE))</f>
        <v/>
      </c>
      <c r="F12" s="78" t="str">
        <f>IF(OR(ISBLANK(C12),ISBLANK(D12)),"",D12*VLOOKUP((IF(OR(C12="Residential urban land",C12="Commercial/industrial urban land",C12="Open urban land",C12="Greenspace",C12="Community food growing",C12="Woodland",C12="Shrub", C12="Water"), "|||"&amp;C12, (VLOOKUP('Stage 2'!$E$9,Lookups!$C$330:$D$330,2,FALSE)&amp;"|"&amp;C12&amp;"|"&amp;VLOOKUP('Stage 2'!$E$12,Lookups!$C$344:$D$345,2,FALSE)&amp;"|"&amp;VLOOKUP('Stage 2'!$E$11,Lookups!$C$304:$E$326,3,FALSE)&amp;"|"&amp;VLOOKUP('Stage 2'!$E$10,Lookups!#REF!,2,FALSE)))),Lookups!$H$41:$J$300,3,FALSE))</f>
        <v/>
      </c>
      <c r="G12" s="126"/>
    </row>
    <row r="13" spans="1:9" x14ac:dyDescent="0.3">
      <c r="A13" s="142"/>
      <c r="B13" s="1"/>
      <c r="C13" s="109"/>
      <c r="D13" s="110"/>
      <c r="E13" s="199" t="str">
        <f>IF(OR(ISBLANK(C13),ISBLANK(D13)),"",D13*VLOOKUP((IF(OR(C13="Residential urban land",C13="Commercial/industrial urban land",C13="Open urban land",C13="Greenspace",C13="Community food growing",C13="Woodland",C13="Shrub", C13="Water"), "|||"&amp;C13, (VLOOKUP('Stage 2'!$E$9,Lookups!$C$330:$D$330,2,FALSE)&amp;"|"&amp;C13&amp;"|"&amp;VLOOKUP('Stage 2'!$E$12,Lookups!$C$344:$D$345,2,FALSE)&amp;"|"&amp;VLOOKUP('Stage 2'!$E$11,Lookups!$C$304:$E$326,3,FALSE)&amp;"|"&amp;VLOOKUP('Stage 2'!$E$10,Lookups!#REF!,2,FALSE)))),Lookups!$H$41:$J$300,2,FALSE))</f>
        <v/>
      </c>
      <c r="F13" s="78" t="str">
        <f>IF(OR(ISBLANK(C13),ISBLANK(D13)),"",D13*VLOOKUP((IF(OR(C13="Residential urban land",C13="Commercial/industrial urban land",C13="Open urban land",C13="Greenspace",C13="Community food growing",C13="Woodland",C13="Shrub", C13="Water"), "|||"&amp;C13, (VLOOKUP('Stage 2'!$E$9,Lookups!$C$330:$D$330,2,FALSE)&amp;"|"&amp;C13&amp;"|"&amp;VLOOKUP('Stage 2'!$E$12,Lookups!$C$344:$D$345,2,FALSE)&amp;"|"&amp;VLOOKUP('Stage 2'!$E$11,Lookups!$C$304:$E$326,3,FALSE)&amp;"|"&amp;VLOOKUP('Stage 2'!$E$10,Lookups!#REF!,2,FALSE)))),Lookups!$H$41:$J$300,3,FALSE))</f>
        <v/>
      </c>
      <c r="G13" s="126"/>
    </row>
    <row r="14" spans="1:9" x14ac:dyDescent="0.3">
      <c r="A14" s="142"/>
      <c r="B14" s="1"/>
      <c r="C14" s="109"/>
      <c r="D14" s="110"/>
      <c r="E14" s="199" t="str">
        <f>IF(OR(ISBLANK(C14),ISBLANK(D14)),"",D14*VLOOKUP((IF(OR(C14="Residential urban land",C14="Commercial/industrial urban land",C14="Open urban land",C14="Greenspace",C14="Community food growing",C14="Woodland",C14="Shrub", C14="Water"), "|||"&amp;C14, (VLOOKUP('Stage 2'!$E$9,Lookups!$C$330:$D$330,2,FALSE)&amp;"|"&amp;C14&amp;"|"&amp;VLOOKUP('Stage 2'!$E$12,Lookups!$C$344:$D$345,2,FALSE)&amp;"|"&amp;VLOOKUP('Stage 2'!$E$11,Lookups!$C$304:$E$326,3,FALSE)&amp;"|"&amp;VLOOKUP('Stage 2'!$E$10,Lookups!#REF!,2,FALSE)))),Lookups!$H$41:$J$300,2,FALSE))</f>
        <v/>
      </c>
      <c r="F14" s="78" t="str">
        <f>IF(OR(ISBLANK(C14),ISBLANK(D14)),"",D14*VLOOKUP((IF(OR(C14="Residential urban land",C14="Commercial/industrial urban land",C14="Open urban land",C14="Greenspace",C14="Community food growing",C14="Woodland",C14="Shrub", C14="Water"), "|||"&amp;C14, (VLOOKUP('Stage 2'!$E$9,Lookups!$C$330:$D$330,2,FALSE)&amp;"|"&amp;C14&amp;"|"&amp;VLOOKUP('Stage 2'!$E$12,Lookups!$C$344:$D$345,2,FALSE)&amp;"|"&amp;VLOOKUP('Stage 2'!$E$11,Lookups!$C$304:$E$326,3,FALSE)&amp;"|"&amp;VLOOKUP('Stage 2'!$E$10,Lookups!#REF!,2,FALSE)))),Lookups!$H$41:$J$300,3,FALSE))</f>
        <v/>
      </c>
      <c r="G14" s="126"/>
    </row>
    <row r="15" spans="1:9" x14ac:dyDescent="0.3">
      <c r="A15" s="142"/>
      <c r="B15" s="1"/>
      <c r="C15" s="109"/>
      <c r="D15" s="110"/>
      <c r="E15" s="199" t="str">
        <f>IF(OR(ISBLANK(C15),ISBLANK(D15)),"",D15*VLOOKUP((IF(OR(C15="Residential urban land",C15="Commercial/industrial urban land",C15="Open urban land",C15="Greenspace",C15="Community food growing",C15="Woodland",C15="Shrub", C15="Water"), "|||"&amp;C15, (VLOOKUP('Stage 2'!$E$9,Lookups!$C$330:$D$330,2,FALSE)&amp;"|"&amp;C15&amp;"|"&amp;VLOOKUP('Stage 2'!$E$12,Lookups!$C$344:$D$345,2,FALSE)&amp;"|"&amp;VLOOKUP('Stage 2'!$E$11,Lookups!$C$304:$E$326,3,FALSE)&amp;"|"&amp;VLOOKUP('Stage 2'!$E$10,Lookups!#REF!,2,FALSE)))),Lookups!$H$41:$J$300,2,FALSE))</f>
        <v/>
      </c>
      <c r="F15" s="78" t="str">
        <f>IF(OR(ISBLANK(C15),ISBLANK(D15)),"",D15*VLOOKUP((IF(OR(C15="Residential urban land",C15="Commercial/industrial urban land",C15="Open urban land",C15="Greenspace",C15="Community food growing",C15="Woodland",C15="Shrub", C15="Water"), "|||"&amp;C15, (VLOOKUP('Stage 2'!$E$9,Lookups!$C$330:$D$330,2,FALSE)&amp;"|"&amp;C15&amp;"|"&amp;VLOOKUP('Stage 2'!$E$12,Lookups!$C$344:$D$345,2,FALSE)&amp;"|"&amp;VLOOKUP('Stage 2'!$E$11,Lookups!$C$304:$E$326,3,FALSE)&amp;"|"&amp;VLOOKUP('Stage 2'!$E$10,Lookups!#REF!,2,FALSE)))),Lookups!$H$41:$J$300,3,FALSE))</f>
        <v/>
      </c>
      <c r="G15" s="126"/>
      <c r="I15" s="170"/>
    </row>
    <row r="16" spans="1:9" x14ac:dyDescent="0.3">
      <c r="A16" s="142"/>
      <c r="B16" s="1"/>
      <c r="C16" s="109"/>
      <c r="D16" s="110"/>
      <c r="E16" s="199" t="str">
        <f>IF(OR(ISBLANK(C16),ISBLANK(D16)),"",D16*VLOOKUP((IF(OR(C16="Residential urban land",C16="Commercial/industrial urban land",C16="Open urban land",C16="Greenspace",C16="Community food growing",C16="Woodland",C16="Shrub", C16="Water"), "|||"&amp;C16, (VLOOKUP('Stage 2'!$E$9,Lookups!$C$330:$D$330,2,FALSE)&amp;"|"&amp;C16&amp;"|"&amp;VLOOKUP('Stage 2'!$E$12,Lookups!$C$344:$D$345,2,FALSE)&amp;"|"&amp;VLOOKUP('Stage 2'!$E$11,Lookups!$C$304:$E$326,3,FALSE)&amp;"|"&amp;VLOOKUP('Stage 2'!$E$10,Lookups!#REF!,2,FALSE)))),Lookups!$H$41:$J$300,2,FALSE))</f>
        <v/>
      </c>
      <c r="F16" s="78" t="str">
        <f>IF(OR(ISBLANK(C16),ISBLANK(D16)),"",D16*VLOOKUP((IF(OR(C16="Residential urban land",C16="Commercial/industrial urban land",C16="Open urban land",C16="Greenspace",C16="Community food growing",C16="Woodland",C16="Shrub", C16="Water"), "|||"&amp;C16, (VLOOKUP('Stage 2'!$E$9,Lookups!$C$330:$D$330,2,FALSE)&amp;"|"&amp;C16&amp;"|"&amp;VLOOKUP('Stage 2'!$E$12,Lookups!$C$344:$D$345,2,FALSE)&amp;"|"&amp;VLOOKUP('Stage 2'!$E$11,Lookups!$C$304:$E$326,3,FALSE)&amp;"|"&amp;VLOOKUP('Stage 2'!$E$10,Lookups!#REF!,2,FALSE)))),Lookups!$H$41:$J$300,3,FALSE))</f>
        <v/>
      </c>
      <c r="G16" s="126"/>
    </row>
    <row r="17" spans="1:11" x14ac:dyDescent="0.3">
      <c r="A17" s="142"/>
      <c r="B17" s="1"/>
      <c r="C17" s="109"/>
      <c r="D17" s="110"/>
      <c r="E17" s="199" t="str">
        <f>IF(OR(ISBLANK(C17),ISBLANK(D17)),"",D17*VLOOKUP((IF(OR(C17="Residential urban land",C17="Commercial/industrial urban land",C17="Open urban land",C17="Greenspace",C17="Community food growing",C17="Woodland",C17="Shrub", C17="Water"), "|||"&amp;C17, (VLOOKUP('Stage 2'!$E$9,Lookups!$C$330:$D$330,2,FALSE)&amp;"|"&amp;C17&amp;"|"&amp;VLOOKUP('Stage 2'!$E$12,Lookups!$C$344:$D$345,2,FALSE)&amp;"|"&amp;VLOOKUP('Stage 2'!$E$11,Lookups!$C$304:$E$326,3,FALSE)&amp;"|"&amp;VLOOKUP('Stage 2'!$E$10,Lookups!#REF!,2,FALSE)))),Lookups!$H$41:$J$300,2,FALSE))</f>
        <v/>
      </c>
      <c r="F17" s="78" t="str">
        <f>IF(OR(ISBLANK(C17),ISBLANK(D17)),"",D17*VLOOKUP((IF(OR(C17="Residential urban land",C17="Commercial/industrial urban land",C17="Open urban land",C17="Greenspace",C17="Community food growing",C17="Woodland",C17="Shrub", C17="Water"), "|||"&amp;C17, (VLOOKUP('Stage 2'!$E$9,Lookups!$C$330:$D$330,2,FALSE)&amp;"|"&amp;C17&amp;"|"&amp;VLOOKUP('Stage 2'!$E$12,Lookups!$C$344:$D$345,2,FALSE)&amp;"|"&amp;VLOOKUP('Stage 2'!$E$11,Lookups!$C$304:$E$326,3,FALSE)&amp;"|"&amp;VLOOKUP('Stage 2'!$E$10,Lookups!#REF!,2,FALSE)))),Lookups!$H$41:$J$300,3,FALSE))</f>
        <v/>
      </c>
      <c r="G17" s="126"/>
    </row>
    <row r="18" spans="1:11" x14ac:dyDescent="0.3">
      <c r="A18" s="142"/>
      <c r="B18" s="1"/>
      <c r="C18" s="109"/>
      <c r="D18" s="119"/>
      <c r="E18" s="199" t="str">
        <f>IF(OR(ISBLANK(C18),ISBLANK(D18)),"",D18*VLOOKUP((IF(OR(C18="Residential urban land",C18="Commercial/industrial urban land",C18="Open urban land",C18="Greenspace",C18="Community food growing",C18="Woodland",C18="Shrub", C18="Water"), "|||"&amp;C18, (VLOOKUP('Stage 2'!$E$9,Lookups!$C$330:$D$330,2,FALSE)&amp;"|"&amp;C18&amp;"|"&amp;VLOOKUP('Stage 2'!$E$12,Lookups!$C$344:$D$345,2,FALSE)&amp;"|"&amp;VLOOKUP('Stage 2'!$E$11,Lookups!$C$304:$E$326,3,FALSE)&amp;"|"&amp;VLOOKUP('Stage 2'!$E$10,Lookups!#REF!,2,FALSE)))),Lookups!$H$41:$J$300,2,FALSE))</f>
        <v/>
      </c>
      <c r="F18" s="78" t="str">
        <f>IF(OR(ISBLANK(C18),ISBLANK(D18)),"",D18*VLOOKUP((IF(OR(C18="Residential urban land",C18="Commercial/industrial urban land",C18="Open urban land",C18="Greenspace",C18="Community food growing",C18="Woodland",C18="Shrub", C18="Water"), "|||"&amp;C18, (VLOOKUP('Stage 2'!$E$9,Lookups!$C$330:$D$330,2,FALSE)&amp;"|"&amp;C18&amp;"|"&amp;VLOOKUP('Stage 2'!$E$12,Lookups!$C$344:$D$345,2,FALSE)&amp;"|"&amp;VLOOKUP('Stage 2'!$E$11,Lookups!$C$304:$E$326,3,FALSE)&amp;"|"&amp;VLOOKUP('Stage 2'!$E$10,Lookups!#REF!,2,FALSE)))),Lookups!$H$41:$J$300,3,FALSE))</f>
        <v/>
      </c>
      <c r="G18" s="126"/>
    </row>
    <row r="19" spans="1:11" x14ac:dyDescent="0.3">
      <c r="A19" s="142"/>
      <c r="B19" s="1"/>
      <c r="C19" s="109"/>
      <c r="D19" s="119"/>
      <c r="E19" s="199" t="str">
        <f>IF(OR(ISBLANK(C19),ISBLANK(D19)),"",D19*VLOOKUP((IF(OR(C19="Residential urban land",C19="Commercial/industrial urban land",C19="Open urban land",C19="Greenspace",C19="Community food growing",C19="Woodland",C19="Shrub", C19="Water"), "|||"&amp;C19, (VLOOKUP('Stage 2'!$E$9,Lookups!$C$330:$D$330,2,FALSE)&amp;"|"&amp;C19&amp;"|"&amp;VLOOKUP('Stage 2'!$E$12,Lookups!$C$344:$D$345,2,FALSE)&amp;"|"&amp;VLOOKUP('Stage 2'!$E$11,Lookups!$C$304:$E$326,3,FALSE)&amp;"|"&amp;VLOOKUP('Stage 2'!$E$10,Lookups!#REF!,2,FALSE)))),Lookups!$H$41:$J$300,2,FALSE))</f>
        <v/>
      </c>
      <c r="F19" s="78" t="str">
        <f>IF(OR(ISBLANK(C19),ISBLANK(D19)),"",D19*VLOOKUP((IF(OR(C19="Residential urban land",C19="Commercial/industrial urban land",C19="Open urban land",C19="Greenspace",C19="Community food growing",C19="Woodland",C19="Shrub", C19="Water"), "|||"&amp;C19, (VLOOKUP('Stage 2'!$E$9,Lookups!$C$330:$D$330,2,FALSE)&amp;"|"&amp;C19&amp;"|"&amp;VLOOKUP('Stage 2'!$E$12,Lookups!$C$344:$D$345,2,FALSE)&amp;"|"&amp;VLOOKUP('Stage 2'!$E$11,Lookups!$C$304:$E$326,3,FALSE)&amp;"|"&amp;VLOOKUP('Stage 2'!$E$10,Lookups!#REF!,2,FALSE)))),Lookups!$H$41:$J$300,3,FALSE))</f>
        <v/>
      </c>
      <c r="G19" s="126"/>
    </row>
    <row r="20" spans="1:11" x14ac:dyDescent="0.3">
      <c r="A20" s="142"/>
      <c r="B20" s="1"/>
      <c r="C20" s="109"/>
      <c r="D20" s="119"/>
      <c r="E20" s="199" t="str">
        <f>IF(OR(ISBLANK(C20),ISBLANK(D20)),"",D20*VLOOKUP((IF(OR(C20="Residential urban land",C20="Commercial/industrial urban land",C20="Open urban land",C20="Greenspace",C20="Community food growing",C20="Woodland",C20="Shrub", C20="Water"), "|||"&amp;C20, (VLOOKUP('Stage 2'!$E$9,Lookups!$C$330:$D$330,2,FALSE)&amp;"|"&amp;C20&amp;"|"&amp;VLOOKUP('Stage 2'!$E$12,Lookups!$C$344:$D$345,2,FALSE)&amp;"|"&amp;VLOOKUP('Stage 2'!$E$11,Lookups!$C$304:$E$326,3,FALSE)&amp;"|"&amp;VLOOKUP('Stage 2'!$E$10,Lookups!#REF!,2,FALSE)))),Lookups!$H$41:$J$300,2,FALSE))</f>
        <v/>
      </c>
      <c r="F20" s="78" t="str">
        <f>IF(OR(ISBLANK(C20),ISBLANK(D20)),"",D20*VLOOKUP((IF(OR(C20="Residential urban land",C20="Commercial/industrial urban land",C20="Open urban land",C20="Greenspace",C20="Community food growing",C20="Woodland",C20="Shrub", C20="Water"), "|||"&amp;C20, (VLOOKUP('Stage 2'!$E$9,Lookups!$C$330:$D$330,2,FALSE)&amp;"|"&amp;C20&amp;"|"&amp;VLOOKUP('Stage 2'!$E$12,Lookups!$C$344:$D$345,2,FALSE)&amp;"|"&amp;VLOOKUP('Stage 2'!$E$11,Lookups!$C$304:$E$326,3,FALSE)&amp;"|"&amp;VLOOKUP('Stage 2'!$E$10,Lookups!#REF!,2,FALSE)))),Lookups!$H$41:$J$300,3,FALSE))</f>
        <v/>
      </c>
      <c r="G20" s="126"/>
    </row>
    <row r="21" spans="1:11" x14ac:dyDescent="0.3">
      <c r="A21" s="142"/>
      <c r="B21" s="1"/>
      <c r="C21" s="109"/>
      <c r="D21" s="119"/>
      <c r="E21" s="199" t="str">
        <f>IF(OR(ISBLANK(C21),ISBLANK(D21)),"",D21*VLOOKUP((IF(OR(C21="Residential urban land",C21="Commercial/industrial urban land",C21="Open urban land",C21="Greenspace",C21="Community food growing",C21="Woodland",C21="Shrub", C21="Water"), "|||"&amp;C21, (VLOOKUP('Stage 2'!$E$9,Lookups!$C$330:$D$330,2,FALSE)&amp;"|"&amp;C21&amp;"|"&amp;VLOOKUP('Stage 2'!$E$12,Lookups!$C$344:$D$345,2,FALSE)&amp;"|"&amp;VLOOKUP('Stage 2'!$E$11,Lookups!$C$304:$E$326,3,FALSE)&amp;"|"&amp;VLOOKUP('Stage 2'!$E$10,Lookups!#REF!,2,FALSE)))),Lookups!$H$41:$J$300,2,FALSE))</f>
        <v/>
      </c>
      <c r="F21" s="78" t="str">
        <f>IF(OR(ISBLANK(C21),ISBLANK(D21)),"",D21*VLOOKUP((IF(OR(C21="Residential urban land",C21="Commercial/industrial urban land",C21="Open urban land",C21="Greenspace",C21="Community food growing",C21="Woodland",C21="Shrub", C21="Water"), "|||"&amp;C21, (VLOOKUP('Stage 2'!$E$9,Lookups!$C$330:$D$330,2,FALSE)&amp;"|"&amp;C21&amp;"|"&amp;VLOOKUP('Stage 2'!$E$12,Lookups!$C$344:$D$345,2,FALSE)&amp;"|"&amp;VLOOKUP('Stage 2'!$E$11,Lookups!$C$304:$E$326,3,FALSE)&amp;"|"&amp;VLOOKUP('Stage 2'!$E$10,Lookups!#REF!,2,FALSE)))),Lookups!$H$41:$J$300,3,FALSE))</f>
        <v/>
      </c>
      <c r="G21" s="126"/>
      <c r="K21" s="144"/>
    </row>
    <row r="22" spans="1:11" x14ac:dyDescent="0.3">
      <c r="A22" s="142"/>
      <c r="B22" s="1"/>
      <c r="C22" s="109"/>
      <c r="D22" s="119"/>
      <c r="E22" s="199" t="str">
        <f>IF(OR(ISBLANK(C22),ISBLANK(D22)),"",D22*VLOOKUP((IF(OR(C22="Residential urban land",C22="Commercial/industrial urban land",C22="Open urban land",C22="Greenspace",C22="Community food growing",C22="Woodland",C22="Shrub", C22="Water"), "|||"&amp;C22, (VLOOKUP('Stage 2'!$E$9,Lookups!$C$330:$D$330,2,FALSE)&amp;"|"&amp;C22&amp;"|"&amp;VLOOKUP('Stage 2'!$E$12,Lookups!$C$344:$D$345,2,FALSE)&amp;"|"&amp;VLOOKUP('Stage 2'!$E$11,Lookups!$C$304:$E$326,3,FALSE)&amp;"|"&amp;VLOOKUP('Stage 2'!$E$10,Lookups!#REF!,2,FALSE)))),Lookups!$H$41:$J$300,2,FALSE))</f>
        <v/>
      </c>
      <c r="F22" s="78" t="str">
        <f>IF(OR(ISBLANK(C22),ISBLANK(D22)),"",D22*VLOOKUP((IF(OR(C22="Residential urban land",C22="Commercial/industrial urban land",C22="Open urban land",C22="Greenspace",C22="Community food growing",C22="Woodland",C22="Shrub", C22="Water"), "|||"&amp;C22, (VLOOKUP('Stage 2'!$E$9,Lookups!$C$330:$D$330,2,FALSE)&amp;"|"&amp;C22&amp;"|"&amp;VLOOKUP('Stage 2'!$E$12,Lookups!$C$344:$D$345,2,FALSE)&amp;"|"&amp;VLOOKUP('Stage 2'!$E$11,Lookups!$C$304:$E$326,3,FALSE)&amp;"|"&amp;VLOOKUP('Stage 2'!$E$10,Lookups!#REF!,2,FALSE)))),Lookups!$H$41:$J$300,3,FALSE))</f>
        <v/>
      </c>
      <c r="G22" s="126"/>
    </row>
    <row r="23" spans="1:11" x14ac:dyDescent="0.3">
      <c r="A23" s="142"/>
      <c r="B23" s="1"/>
      <c r="C23" s="109"/>
      <c r="D23" s="120"/>
      <c r="E23" s="199" t="str">
        <f>IF(OR(ISBLANK(C23),ISBLANK(D23)),"",D23*VLOOKUP((IF(OR(C23="Residential urban land",C23="Commercial/industrial urban land",C23="Open urban land",C23="Greenspace",C23="Community food growing",C23="Woodland",C23="Shrub", C23="Water"), "|||"&amp;C23, (VLOOKUP('Stage 2'!$E$9,Lookups!$C$330:$D$330,2,FALSE)&amp;"|"&amp;C23&amp;"|"&amp;VLOOKUP('Stage 2'!$E$12,Lookups!$C$344:$D$345,2,FALSE)&amp;"|"&amp;VLOOKUP('Stage 2'!$E$11,Lookups!$C$304:$E$326,3,FALSE)&amp;"|"&amp;VLOOKUP('Stage 2'!$E$10,Lookups!#REF!,2,FALSE)))),Lookups!$H$41:$J$300,2,FALSE))</f>
        <v/>
      </c>
      <c r="F23" s="78" t="str">
        <f>IF(OR(ISBLANK(C23),ISBLANK(D23)),"",D23*VLOOKUP((IF(OR(C23="Residential urban land",C23="Commercial/industrial urban land",C23="Open urban land",C23="Greenspace",C23="Community food growing",C23="Woodland",C23="Shrub", C23="Water"), "|||"&amp;C23, (VLOOKUP('Stage 2'!$E$9,Lookups!$C$330:$D$330,2,FALSE)&amp;"|"&amp;C23&amp;"|"&amp;VLOOKUP('Stage 2'!$E$12,Lookups!$C$344:$D$345,2,FALSE)&amp;"|"&amp;VLOOKUP('Stage 2'!$E$11,Lookups!$C$304:$E$326,3,FALSE)&amp;"|"&amp;VLOOKUP('Stage 2'!$E$10,Lookups!#REF!,2,FALSE)))),Lookups!$H$41:$J$300,3,FALSE))</f>
        <v/>
      </c>
      <c r="G23" s="126"/>
    </row>
    <row r="24" spans="1:11" x14ac:dyDescent="0.3">
      <c r="A24" s="142"/>
      <c r="B24" s="1"/>
      <c r="C24" s="109"/>
      <c r="D24" s="118"/>
      <c r="E24" s="199" t="str">
        <f>IF(OR(ISBLANK(C24),ISBLANK(D24)),"",D24*VLOOKUP((IF(OR(C24="Residential urban land",C24="Commercial/industrial urban land",C24="Open urban land",C24="Greenspace",C24="Community food growing",C24="Woodland",C24="Shrub", C24="Water"), "|||"&amp;C24, (VLOOKUP('Stage 2'!$E$9,Lookups!$C$330:$D$330,2,FALSE)&amp;"|"&amp;C24&amp;"|"&amp;VLOOKUP('Stage 2'!$E$12,Lookups!$C$344:$D$345,2,FALSE)&amp;"|"&amp;VLOOKUP('Stage 2'!$E$11,Lookups!$C$304:$E$326,3,FALSE)&amp;"|"&amp;VLOOKUP('Stage 2'!$E$10,Lookups!#REF!,2,FALSE)))),Lookups!$H$41:$J$300,2,FALSE))</f>
        <v/>
      </c>
      <c r="F24" s="78" t="str">
        <f>IF(OR(ISBLANK(C24),ISBLANK(D24)),"",D24*VLOOKUP((IF(OR(C24="Residential urban land",C24="Commercial/industrial urban land",C24="Open urban land",C24="Greenspace",C24="Community food growing",C24="Woodland",C24="Shrub", C24="Water"), "|||"&amp;C24, (VLOOKUP('Stage 2'!$E$9,Lookups!$C$330:$D$330,2,FALSE)&amp;"|"&amp;C24&amp;"|"&amp;VLOOKUP('Stage 2'!$E$12,Lookups!$C$344:$D$345,2,FALSE)&amp;"|"&amp;VLOOKUP('Stage 2'!$E$11,Lookups!$C$304:$E$326,3,FALSE)&amp;"|"&amp;VLOOKUP('Stage 2'!$E$10,Lookups!#REF!,2,FALSE)))),Lookups!$H$41:$J$300,3,FALSE))</f>
        <v/>
      </c>
      <c r="G24" s="126"/>
    </row>
    <row r="25" spans="1:11" x14ac:dyDescent="0.3">
      <c r="A25" s="142"/>
      <c r="B25" s="1"/>
      <c r="C25" s="109"/>
      <c r="D25" s="118"/>
      <c r="E25" s="199" t="str">
        <f>IF(OR(ISBLANK(C25),ISBLANK(D25)),"",D25*VLOOKUP((IF(OR(C25="Residential urban land",C25="Commercial/industrial urban land",C25="Open urban land",C25="Greenspace",C25="Community food growing",C25="Woodland",C25="Shrub", C25="Water"), "|||"&amp;C25, (VLOOKUP('Stage 2'!$E$9,Lookups!$C$330:$D$330,2,FALSE)&amp;"|"&amp;C25&amp;"|"&amp;VLOOKUP('Stage 2'!$E$12,Lookups!$C$344:$D$345,2,FALSE)&amp;"|"&amp;VLOOKUP('Stage 2'!$E$11,Lookups!$C$304:$E$326,3,FALSE)&amp;"|"&amp;VLOOKUP('Stage 2'!$E$10,Lookups!#REF!,2,FALSE)))),Lookups!$H$41:$J$300,2,FALSE))</f>
        <v/>
      </c>
      <c r="F25" s="78" t="str">
        <f>IF(OR(ISBLANK(C25),ISBLANK(D25)),"",D25*VLOOKUP((IF(OR(C25="Residential urban land",C25="Commercial/industrial urban land",C25="Open urban land",C25="Greenspace",C25="Community food growing",C25="Woodland",C25="Shrub", C25="Water"), "|||"&amp;C25, (VLOOKUP('Stage 2'!$E$9,Lookups!$C$330:$D$330,2,FALSE)&amp;"|"&amp;C25&amp;"|"&amp;VLOOKUP('Stage 2'!$E$12,Lookups!$C$344:$D$345,2,FALSE)&amp;"|"&amp;VLOOKUP('Stage 2'!$E$11,Lookups!$C$304:$E$326,3,FALSE)&amp;"|"&amp;VLOOKUP('Stage 2'!$E$10,Lookups!#REF!,2,FALSE)))),Lookups!$H$41:$J$300,3,FALSE))</f>
        <v/>
      </c>
      <c r="G25" s="126"/>
    </row>
    <row r="26" spans="1:11" ht="15" thickBot="1" x14ac:dyDescent="0.35">
      <c r="A26" s="142"/>
      <c r="B26" s="1"/>
      <c r="C26" s="121"/>
      <c r="D26" s="122"/>
      <c r="E26" s="200" t="str">
        <f>IF(OR(ISBLANK(C26),ISBLANK(D26)),"",D26*VLOOKUP((IF(OR(C26="Residential urban land",C26="Commercial/industrial urban land",C26="Open urban land",C26="Greenspace",C26="Community food growing",C26="Woodland",C26="Shrub", C26="Water"), "|||"&amp;C26, (VLOOKUP('Stage 2'!$E$9,Lookups!$C$330:$D$330,2,FALSE)&amp;"|"&amp;C26&amp;"|"&amp;VLOOKUP('Stage 2'!$E$12,Lookups!$C$344:$D$345,2,FALSE)&amp;"|"&amp;VLOOKUP('Stage 2'!$E$11,Lookups!$C$304:$E$326,3,FALSE)&amp;"|"&amp;VLOOKUP('Stage 2'!$E$10,Lookups!#REF!,2,FALSE)))),Lookups!$H$41:$J$300,2,FALSE))</f>
        <v/>
      </c>
      <c r="F26" s="79" t="str">
        <f>IF(OR(ISBLANK(C26),ISBLANK(D26)),"",D26*VLOOKUP((IF(OR(C26="Residential urban land",C26="Commercial/industrial urban land",C26="Open urban land",C26="Greenspace",C26="Community food growing",C26="Woodland",C26="Shrub", C26="Water"), "|||"&amp;C26, (VLOOKUP('Stage 2'!$E$9,Lookups!$C$330:$D$330,2,FALSE)&amp;"|"&amp;C26&amp;"|"&amp;VLOOKUP('Stage 2'!$E$12,Lookups!$C$344:$D$345,2,FALSE)&amp;"|"&amp;VLOOKUP('Stage 2'!$E$11,Lookups!$C$304:$E$326,3,FALSE)&amp;"|"&amp;VLOOKUP('Stage 2'!$E$10,Lookups!#REF!,2,FALSE)))),Lookups!$H$41:$J$300,3,FALSE))</f>
        <v/>
      </c>
      <c r="G26" s="126"/>
    </row>
    <row r="27" spans="1:11" x14ac:dyDescent="0.3">
      <c r="A27" s="142"/>
      <c r="B27" s="1"/>
      <c r="C27" s="72" t="s">
        <v>83</v>
      </c>
      <c r="D27" s="134">
        <f>SUM(D10:D26)</f>
        <v>0</v>
      </c>
      <c r="E27" s="185">
        <f>SUM(E10:E26)</f>
        <v>0</v>
      </c>
      <c r="F27" s="103">
        <f>SUM(F10:F26)</f>
        <v>0</v>
      </c>
      <c r="G27" s="126"/>
    </row>
    <row r="28" spans="1:11" ht="15" thickBot="1" x14ac:dyDescent="0.35">
      <c r="A28" s="142"/>
      <c r="B28" s="153"/>
      <c r="C28" s="139"/>
      <c r="D28" s="139"/>
      <c r="E28" s="139"/>
      <c r="F28" s="139"/>
      <c r="G28" s="140"/>
    </row>
    <row r="29" spans="1:11" ht="15" thickTop="1" x14ac:dyDescent="0.3"/>
  </sheetData>
  <sheetProtection algorithmName="SHA-512" hashValue="F8doZOfWgp3mb0httPP/g83y3rgEfge5aYSHoQcWmtoz+SHOhICAaYe8LIcnh8vcknEdXF9vDdHCMSXBU8zdlw==" saltValue="L/XSd3RWaXJXGQsmDrdY1g==" spinCount="100000" sheet="1" selectLockedCells="1"/>
  <protectedRanges>
    <protectedRange algorithmName="SHA-512" hashValue="MvmTLotpKiuRnedI3A4NjKJPVt4Aw8hcOvmE+D0rBMjM9TiU4ekXkprnHN0k9oVg0inb+CLcUsLFrJxBFcC6uw==" saltValue="93Zg0snhziumGVhjlXa2zg==" spinCount="100000" sqref="C10:D26" name="Range1"/>
  </protectedRanges>
  <mergeCells count="2">
    <mergeCell ref="B3:G5"/>
    <mergeCell ref="C7:F7"/>
  </mergeCells>
  <dataValidations xWindow="165" yWindow="453" count="1">
    <dataValidation allowBlank="1" showInputMessage="1" showErrorMessage="1" prompt="Please enter area in hectares." sqref="D10:D26" xr:uid="{F230AB9C-8339-4373-B4B8-7B45A3D33AEE}"/>
  </dataValidations>
  <pageMargins left="0.7" right="0.7" top="0.75" bottom="0.75" header="0.3" footer="0.3"/>
  <extLst>
    <ext xmlns:x14="http://schemas.microsoft.com/office/spreadsheetml/2009/9/main" uri="{CCE6A557-97BC-4b89-ADB6-D9C93CAAB3DF}">
      <x14:dataValidations xmlns:xm="http://schemas.microsoft.com/office/excel/2006/main" xWindow="165" yWindow="453" count="1">
        <x14:dataValidation type="list" allowBlank="1" showInputMessage="1" showErrorMessage="1" errorTitle="Landcover" error="Please select all pre exisitng landcover types." prompt="Select post-development land use types from the drop down list." xr:uid="{FA0D53B1-FD66-49E4-975D-2D0980FA619E}">
          <x14:formula1>
            <xm:f>Lookups!$G$339:$G$346</xm:f>
          </x14:formula1>
          <xm:sqref>C10:C26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082EE-826E-403B-BCD4-7E1A897AA803}">
  <dimension ref="A2:L33"/>
  <sheetViews>
    <sheetView showRowColHeaders="0" zoomScaleNormal="100" workbookViewId="0"/>
  </sheetViews>
  <sheetFormatPr defaultColWidth="9.109375" defaultRowHeight="14.4" x14ac:dyDescent="0.3"/>
  <cols>
    <col min="1" max="1" width="9.109375" style="141"/>
    <col min="2" max="2" width="4.88671875" style="141" customWidth="1"/>
    <col min="3" max="3" width="30.44140625" style="141" customWidth="1"/>
    <col min="4" max="4" width="26.88671875" style="141" customWidth="1"/>
    <col min="5" max="5" width="9.109375" style="141"/>
    <col min="6" max="6" width="35" style="141" customWidth="1"/>
    <col min="7" max="7" width="23.33203125" style="141" customWidth="1"/>
    <col min="8" max="10" width="9.109375" style="141"/>
    <col min="11" max="11" width="7.109375" style="141" customWidth="1"/>
    <col min="12" max="16384" width="9.109375" style="141"/>
  </cols>
  <sheetData>
    <row r="2" spans="1:12" ht="15" thickBot="1" x14ac:dyDescent="0.35"/>
    <row r="3" spans="1:12" ht="15" thickTop="1" x14ac:dyDescent="0.3">
      <c r="B3" s="286" t="s">
        <v>201</v>
      </c>
      <c r="C3" s="287"/>
      <c r="D3" s="287"/>
      <c r="E3" s="287"/>
      <c r="F3" s="287"/>
      <c r="G3" s="287"/>
      <c r="H3" s="288"/>
    </row>
    <row r="4" spans="1:12" x14ac:dyDescent="0.3">
      <c r="B4" s="275"/>
      <c r="C4" s="276"/>
      <c r="D4" s="276"/>
      <c r="E4" s="276"/>
      <c r="F4" s="276"/>
      <c r="G4" s="276"/>
      <c r="H4" s="277"/>
    </row>
    <row r="5" spans="1:12" x14ac:dyDescent="0.3">
      <c r="B5" s="275"/>
      <c r="C5" s="276"/>
      <c r="D5" s="276"/>
      <c r="E5" s="276"/>
      <c r="F5" s="276"/>
      <c r="G5" s="276"/>
      <c r="H5" s="277"/>
      <c r="I5" s="144"/>
      <c r="J5" s="144"/>
      <c r="K5" s="144"/>
      <c r="L5" s="144"/>
    </row>
    <row r="6" spans="1:12" ht="18" x14ac:dyDescent="0.3">
      <c r="A6" s="144"/>
      <c r="B6" s="136"/>
      <c r="C6" s="4"/>
      <c r="D6" s="4"/>
      <c r="E6" s="4"/>
      <c r="F6" s="4"/>
      <c r="G6" s="4"/>
      <c r="H6" s="126"/>
      <c r="L6" s="145"/>
    </row>
    <row r="7" spans="1:12" ht="18" x14ac:dyDescent="0.3">
      <c r="A7" s="144"/>
      <c r="B7" s="136"/>
      <c r="C7" s="289" t="s">
        <v>200</v>
      </c>
      <c r="D7" s="289"/>
      <c r="E7" s="4"/>
      <c r="F7" s="4"/>
      <c r="G7" s="4"/>
      <c r="H7" s="126"/>
      <c r="L7" s="145"/>
    </row>
    <row r="8" spans="1:12" ht="18" hidden="1" customHeight="1" x14ac:dyDescent="0.5">
      <c r="A8" s="144"/>
      <c r="B8" s="136"/>
      <c r="C8" s="4"/>
      <c r="D8" s="4"/>
      <c r="E8" s="4"/>
      <c r="F8" s="4"/>
      <c r="G8" s="4"/>
      <c r="H8" s="171"/>
      <c r="I8" s="174"/>
      <c r="J8" s="175"/>
      <c r="L8" s="147"/>
    </row>
    <row r="9" spans="1:12" ht="12" hidden="1" customHeight="1" x14ac:dyDescent="0.5">
      <c r="A9" s="144"/>
      <c r="B9" s="136"/>
      <c r="C9" s="4"/>
      <c r="D9" s="4"/>
      <c r="E9" s="4"/>
      <c r="F9" s="4"/>
      <c r="G9" s="4"/>
      <c r="H9" s="172"/>
      <c r="I9" s="176"/>
      <c r="J9" s="177"/>
      <c r="L9" s="147"/>
    </row>
    <row r="10" spans="1:12" ht="18.600000000000001" hidden="1" thickBot="1" x14ac:dyDescent="0.55000000000000004">
      <c r="A10" s="144"/>
      <c r="B10" s="136"/>
      <c r="C10" s="69" t="s">
        <v>91</v>
      </c>
      <c r="D10" s="97" t="str">
        <f>'Stage 1'!D29</f>
        <v/>
      </c>
      <c r="E10" s="29"/>
      <c r="F10" s="4"/>
      <c r="G10" s="4"/>
      <c r="H10" s="172"/>
      <c r="I10" s="176"/>
      <c r="J10" s="177"/>
      <c r="L10" s="147"/>
    </row>
    <row r="11" spans="1:12" ht="21" hidden="1" customHeight="1" thickBot="1" x14ac:dyDescent="0.55000000000000004">
      <c r="A11" s="144"/>
      <c r="B11" s="136"/>
      <c r="C11" s="125" t="s">
        <v>90</v>
      </c>
      <c r="D11" s="98">
        <f>'Stage 3'!E27-'Stage 2'!E32</f>
        <v>0</v>
      </c>
      <c r="E11" s="24"/>
      <c r="F11" s="4"/>
      <c r="G11" s="4"/>
      <c r="H11" s="172"/>
      <c r="I11" s="178"/>
      <c r="J11" s="177"/>
      <c r="K11" s="145"/>
      <c r="L11" s="148"/>
    </row>
    <row r="12" spans="1:12" ht="18.600000000000001" hidden="1" thickBot="1" x14ac:dyDescent="0.35">
      <c r="A12" s="144"/>
      <c r="B12" s="136"/>
      <c r="C12" s="125" t="s">
        <v>89</v>
      </c>
      <c r="D12" s="66" t="e">
        <f>D10+D11</f>
        <v>#VALUE!</v>
      </c>
      <c r="E12" s="25"/>
      <c r="F12" s="4"/>
      <c r="G12" s="4"/>
      <c r="H12" s="150"/>
      <c r="I12" s="179"/>
      <c r="J12" s="147"/>
      <c r="K12" s="147"/>
      <c r="L12" s="148"/>
    </row>
    <row r="13" spans="1:12" ht="29.25" hidden="1" customHeight="1" x14ac:dyDescent="0.3">
      <c r="B13" s="136"/>
      <c r="C13" s="124" t="s">
        <v>88</v>
      </c>
      <c r="D13" s="99" t="e">
        <f>D12*1.2</f>
        <v>#VALUE!</v>
      </c>
      <c r="E13" s="26"/>
      <c r="F13" s="4"/>
      <c r="G13" s="4"/>
      <c r="H13" s="152"/>
      <c r="I13" s="180"/>
      <c r="J13" s="148"/>
      <c r="K13" s="148"/>
    </row>
    <row r="14" spans="1:12" ht="11.25" hidden="1" customHeight="1" x14ac:dyDescent="0.3">
      <c r="B14" s="136"/>
      <c r="C14" s="29"/>
      <c r="D14" s="173"/>
      <c r="E14" s="29"/>
      <c r="F14" s="4"/>
      <c r="G14" s="4"/>
      <c r="H14" s="126"/>
    </row>
    <row r="15" spans="1:12" hidden="1" x14ac:dyDescent="0.3">
      <c r="B15" s="136"/>
      <c r="C15" s="29"/>
      <c r="D15" s="173"/>
      <c r="E15" s="29"/>
      <c r="F15" s="4"/>
      <c r="G15" s="4"/>
      <c r="H15" s="126"/>
    </row>
    <row r="16" spans="1:12" ht="15" hidden="1" thickBot="1" x14ac:dyDescent="0.35">
      <c r="B16" s="136"/>
      <c r="C16" s="69" t="s">
        <v>84</v>
      </c>
      <c r="D16" s="97" t="str">
        <f>'Stage 1'!D34</f>
        <v/>
      </c>
      <c r="E16" s="29"/>
      <c r="F16" s="4"/>
      <c r="G16" s="4"/>
      <c r="H16" s="126"/>
    </row>
    <row r="17" spans="2:8" ht="15" hidden="1" thickBot="1" x14ac:dyDescent="0.35">
      <c r="B17" s="136"/>
      <c r="C17" s="125" t="s">
        <v>85</v>
      </c>
      <c r="D17" s="100">
        <f>'Stage 3'!F27-'Stage 2'!F32</f>
        <v>0</v>
      </c>
      <c r="E17" s="29"/>
      <c r="F17" s="4"/>
      <c r="G17" s="4"/>
      <c r="H17" s="126"/>
    </row>
    <row r="18" spans="2:8" ht="15" hidden="1" thickBot="1" x14ac:dyDescent="0.35">
      <c r="B18" s="136"/>
      <c r="C18" s="68" t="s">
        <v>86</v>
      </c>
      <c r="D18" s="87" t="e">
        <f>D16+D17</f>
        <v>#VALUE!</v>
      </c>
      <c r="E18" s="19"/>
      <c r="F18" s="4"/>
      <c r="G18" s="4"/>
      <c r="H18" s="126"/>
    </row>
    <row r="19" spans="2:8" hidden="1" x14ac:dyDescent="0.3">
      <c r="B19" s="136"/>
      <c r="C19" s="124" t="s">
        <v>87</v>
      </c>
      <c r="D19" s="99" t="e">
        <f>D18*1.2</f>
        <v>#VALUE!</v>
      </c>
      <c r="E19" s="19"/>
      <c r="F19" s="4"/>
      <c r="G19" s="4"/>
      <c r="H19" s="126"/>
    </row>
    <row r="20" spans="2:8" ht="18" x14ac:dyDescent="0.3">
      <c r="B20" s="136"/>
      <c r="C20" s="10"/>
      <c r="D20" s="12"/>
      <c r="E20" s="13"/>
      <c r="F20" s="4"/>
      <c r="G20" s="4"/>
      <c r="H20" s="126"/>
    </row>
    <row r="21" spans="2:8" ht="24.75" customHeight="1" x14ac:dyDescent="0.3">
      <c r="B21" s="136"/>
      <c r="C21" s="290" t="str">
        <f>IFERROR(IF(AND('Stage 1'!$D$9&lt;DATE(2025,1,1),OR((VLOOKUP('Stage 1'!$D$13,Lookups!$C$8:$G$35,2,FALSE))&gt;(VLOOKUP('Stage 1'!$D$13,Lookups!$C$8:$G$35,4,FALSE)),(VLOOKUP('Stage 1'!$D$13,Lookups!$C$8:$G$35,3,FALSE))&gt;(VLOOKUP('Stage 1'!$D$13,Lookups!$C$8:$G$35,5,FALSE)))),"Post-2025 Annual Nutrient Budget","Annual Nutrient Budget"),"")</f>
        <v/>
      </c>
      <c r="D21" s="290"/>
      <c r="E21" s="13"/>
      <c r="F21" s="290" t="str">
        <f>IFERROR(IF(AND('Stage 1'!$D$9&lt;DATE(2025,1,1),OR((VLOOKUP('Stage 1'!$D$13,Lookups!$C$8:$G$35,2,FALSE))&gt;(VLOOKUP('Stage 1'!$D$13,Lookups!$C$8:$G$35,4,FALSE)),(VLOOKUP('Stage 1'!$D$13,Lookups!$C$8:$G$35,3,FALSE))&gt;(VLOOKUP('Stage 1'!$D$13,Lookups!$C$8:$G$35,5,FALSE)))),"Pre-2025 Annual Nutrient Budget",""),"")</f>
        <v/>
      </c>
      <c r="G21" s="290"/>
      <c r="H21" s="126"/>
    </row>
    <row r="22" spans="2:8" ht="15" customHeight="1" x14ac:dyDescent="0.3">
      <c r="B22" s="136"/>
      <c r="C22" s="291" t="s">
        <v>138</v>
      </c>
      <c r="D22" s="293" t="e">
        <f>IF(ROUND(D13,2)&lt;0,0&amp;" kg TP/year",ROUND(D13,2)&amp;" kg TP/year")</f>
        <v>#VALUE!</v>
      </c>
      <c r="E22" s="4"/>
      <c r="F22" s="291" t="str">
        <f>IFERROR(IF(AND('Stage 1'!$D$9&lt;DATE(2025,1,1),OR((VLOOKUP('Stage 1'!$D$13,Lookups!$C$8:$G$35,2,FALSE))&gt;(VLOOKUP('Stage 1'!$D$13,Lookups!$C$8:$G$35,4,FALSE)),(VLOOKUP('Stage 1'!$D$13,Lookups!$C$8:$G$35,3,FALSE))&gt;(VLOOKUP('Stage 1'!$D$13,Lookups!$C$8:$G$35,5,FALSE)))),"The pre-2025 annual phosphorus load to mitigate is:",""),"")</f>
        <v/>
      </c>
      <c r="G22" s="292" t="str">
        <f>IFERROR(IF(AND('Stage 1'!$D$9&lt;DATE(2025,1,1),OR((VLOOKUP('Stage 1'!$D$13,Lookups!$C$8:$G$35,2,FALSE))&gt;(VLOOKUP('Stage 1'!$D$13,Lookups!$C$8:$G$35,4,FALSE)),(VLOOKUP('Stage 1'!$D$13,Lookups!$C$8:$G$35,3,FALSE))&gt;(VLOOKUP('Stage 1'!$D$13,Lookups!$C$8:$G$35,5,FALSE)))),IF(ROUND(('Stage 3'!E27-'Stage 2'!E32+'Stage 1'!H22)*1.2,2)&lt;0,0&amp;" kg TP/year",ROUND(('Stage 3'!E27-'Stage 2'!E32+'Stage 1'!H22)*1.2,2)&amp;" kg TP/year"),""),"")</f>
        <v/>
      </c>
      <c r="H22" s="126"/>
    </row>
    <row r="23" spans="2:8" ht="15" customHeight="1" x14ac:dyDescent="0.3">
      <c r="B23" s="136"/>
      <c r="C23" s="291"/>
      <c r="D23" s="293"/>
      <c r="E23" s="4"/>
      <c r="F23" s="291"/>
      <c r="G23" s="292"/>
      <c r="H23" s="126"/>
    </row>
    <row r="24" spans="2:8" ht="15" customHeight="1" x14ac:dyDescent="0.3">
      <c r="B24" s="136"/>
      <c r="C24" s="291"/>
      <c r="D24" s="293"/>
      <c r="E24" s="4"/>
      <c r="F24" s="291"/>
      <c r="G24" s="292"/>
      <c r="H24" s="126"/>
    </row>
    <row r="25" spans="2:8" ht="15" customHeight="1" x14ac:dyDescent="0.3">
      <c r="B25" s="136"/>
      <c r="C25" s="291"/>
      <c r="D25" s="293"/>
      <c r="E25" s="4"/>
      <c r="F25" s="291"/>
      <c r="G25" s="292"/>
      <c r="H25" s="126"/>
    </row>
    <row r="26" spans="2:8" ht="15" hidden="1" customHeight="1" x14ac:dyDescent="0.3">
      <c r="B26" s="136"/>
      <c r="C26" s="29"/>
      <c r="D26" s="101"/>
      <c r="E26" s="4"/>
      <c r="F26" s="4"/>
      <c r="G26" s="4"/>
      <c r="H26" s="126"/>
    </row>
    <row r="27" spans="2:8" hidden="1" x14ac:dyDescent="0.3">
      <c r="B27" s="136"/>
      <c r="C27" s="29"/>
      <c r="D27" s="101"/>
      <c r="E27" s="4"/>
      <c r="F27" s="83"/>
      <c r="G27" s="4"/>
      <c r="H27" s="126"/>
    </row>
    <row r="28" spans="2:8" ht="15" hidden="1" customHeight="1" x14ac:dyDescent="0.3">
      <c r="B28" s="136"/>
      <c r="C28" s="291" t="s">
        <v>139</v>
      </c>
      <c r="D28" s="293" t="e">
        <f>IF(ROUND(D19,2)&lt;0,0&amp;" kg TN/year",ROUND(D19,2)&amp;" kg TN/year")</f>
        <v>#VALUE!</v>
      </c>
      <c r="E28" s="4"/>
      <c r="F28" s="83"/>
      <c r="G28" s="292" t="str">
        <f>IFERROR(IF(AND('Stage 1'!$D$9&lt;DATE(2025,1,1),OR((VLOOKUP('Stage 1'!$D$13,Lookups!$C$8:$G$35,2,FALSE))&gt;(VLOOKUP('Stage 1'!$D$13,Lookups!$C$8:$G$35,4,FALSE)),(VLOOKUP('Stage 1'!$D$13,Lookups!$C$8:$G$35,3,FALSE))&gt;(VLOOKUP('Stage 1'!$D$13,Lookups!$C$8:$G$35,5,FALSE)))),IF(ROUND(('Stage 3'!F27-'Stage 2'!F32+'Stage 1'!H35)*1.2,2)&lt;0,0&amp;" kg TN/year",ROUND(('Stage 3'!F27-'Stage 2'!F32+'Stage 1'!H35)*1.2,2)&amp;" kg TN/year"),""),"")</f>
        <v/>
      </c>
      <c r="H28" s="126"/>
    </row>
    <row r="29" spans="2:8" ht="15.75" hidden="1" customHeight="1" x14ac:dyDescent="0.3">
      <c r="B29" s="136"/>
      <c r="C29" s="291"/>
      <c r="D29" s="293"/>
      <c r="E29" s="4"/>
      <c r="F29" s="291" t="str">
        <f>IFERROR(IF(AND('Stage 1'!$D$9&lt;DATE(2025,1,1),OR((VLOOKUP('Stage 1'!$D$13,Lookups!$C$8:$G$35,2,FALSE))&gt;(VLOOKUP('Stage 1'!$D$13,Lookups!$C$8:$G$35,4,FALSE)),(VLOOKUP('Stage 1'!$D$13,Lookups!$C$8:$G$35,3,FALSE))&gt;(VLOOKUP('Stage 1'!$D$13,Lookups!$C$8:$G$35,5,FALSE)))),"The pre-2025 annual nitrogen load to mitigate is:",""),"")</f>
        <v/>
      </c>
      <c r="G29" s="292"/>
      <c r="H29" s="126"/>
    </row>
    <row r="30" spans="2:8" ht="15" hidden="1" customHeight="1" x14ac:dyDescent="0.3">
      <c r="B30" s="136"/>
      <c r="C30" s="291"/>
      <c r="D30" s="293"/>
      <c r="E30" s="4"/>
      <c r="F30" s="291"/>
      <c r="G30" s="292"/>
      <c r="H30" s="126"/>
    </row>
    <row r="31" spans="2:8" ht="15.75" hidden="1" customHeight="1" x14ac:dyDescent="0.3">
      <c r="B31" s="136"/>
      <c r="C31" s="291"/>
      <c r="D31" s="293"/>
      <c r="E31" s="4"/>
      <c r="F31" s="291"/>
      <c r="G31" s="292"/>
      <c r="H31" s="126"/>
    </row>
    <row r="32" spans="2:8" ht="15" thickBot="1" x14ac:dyDescent="0.35">
      <c r="B32" s="153"/>
      <c r="C32" s="139"/>
      <c r="D32" s="139"/>
      <c r="E32" s="139"/>
      <c r="F32" s="139"/>
      <c r="G32" s="139"/>
      <c r="H32" s="140"/>
    </row>
    <row r="33" ht="15" thickTop="1" x14ac:dyDescent="0.3"/>
  </sheetData>
  <sheetProtection algorithmName="SHA-512" hashValue="oSiOb5M43evtDL5e4Jl8im5S1RYLp0uhPe8HSOBVMNFgrlZshym4a/whJyJq7k01j2HA3zGEJXDsiok+zaS2uQ==" saltValue="raV9xFxRYMbTQG+fvctSAg==" spinCount="100000" sheet="1"/>
  <mergeCells count="12">
    <mergeCell ref="B3:H5"/>
    <mergeCell ref="C7:D7"/>
    <mergeCell ref="F21:G21"/>
    <mergeCell ref="F22:F25"/>
    <mergeCell ref="F29:F31"/>
    <mergeCell ref="G22:G25"/>
    <mergeCell ref="G28:G31"/>
    <mergeCell ref="C22:C25"/>
    <mergeCell ref="C28:C31"/>
    <mergeCell ref="D22:D25"/>
    <mergeCell ref="D28:D31"/>
    <mergeCell ref="C21:D21"/>
  </mergeCells>
  <conditionalFormatting sqref="G22:G25">
    <cfRule type="expression" dxfId="1" priority="2">
      <formula>($C$21="Post-2025 Annual Nutrient Budget")</formula>
    </cfRule>
  </conditionalFormatting>
  <conditionalFormatting sqref="G28:G31">
    <cfRule type="expression" dxfId="0" priority="1">
      <formula>($C$21="Post-2025 Annual Nutrient Budget")</formula>
    </cfRule>
  </conditionalFormatting>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C3125CCC-BE42-4D41-A6C3-63F556A5FD41}">
          <x14:formula1>
            <xm:f>'C:\Users\DS56\OneDrive - Ricardo Plc\NE NN\[Copy of Herefordshire Council Phosphate Budget Calculator_Final.xlsx]Stage 2 and 3 lookups'!#REF!</xm:f>
          </x14:formula1>
          <xm:sqref>J9:J11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Strategic solutions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10</Value>
      <Value>9</Value>
      <Value>8</Value>
      <Value>7</Value>
      <Value>6</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Team xmlns="662745e8-e224-48e8-a2e3-254862b8c2f5">Natural England Programmes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1709A144B6CB1247B0EB17D39170EEBB" ma:contentTypeVersion="13" ma:contentTypeDescription="Create a new document." ma:contentTypeScope="" ma:versionID="67ecd45f770d3e359dffe841dc5eb5e3">
  <xsd:schema xmlns:xsd="http://www.w3.org/2001/XMLSchema" xmlns:xs="http://www.w3.org/2001/XMLSchema" xmlns:p="http://schemas.microsoft.com/office/2006/metadata/properties" xmlns:ns2="662745e8-e224-48e8-a2e3-254862b8c2f5" xmlns:ns3="50608f39-3744-4f2b-8ddf-6077ea9dcf84" xmlns:ns4="41b1b97e-58d0-4f82-aacc-4a7d6fa43521" targetNamespace="http://schemas.microsoft.com/office/2006/metadata/properties" ma:root="true" ma:fieldsID="42e099b84febb67c73aa22ba39b9046a" ns2:_="" ns3:_="" ns4:_="">
    <xsd:import namespace="662745e8-e224-48e8-a2e3-254862b8c2f5"/>
    <xsd:import namespace="50608f39-3744-4f2b-8ddf-6077ea9dcf84"/>
    <xsd:import namespace="41b1b97e-58d0-4f82-aacc-4a7d6fa43521"/>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DateTaken" minOccurs="0"/>
                <xsd:element ref="ns3:MediaLengthInSeconds"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9ba13cf-7d0b-4653-bdd4-d6cd8989d710}" ma:internalName="TaxCatchAll" ma:showField="CatchAllData" ma:web="41b1b97e-58d0-4f82-aacc-4a7d6fa4352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9ba13cf-7d0b-4653-bdd4-d6cd8989d710}" ma:internalName="TaxCatchAllLabel" ma:readOnly="true" ma:showField="CatchAllDataLabel" ma:web="41b1b97e-58d0-4f82-aacc-4a7d6fa43521">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Natural England Programmes" ma:internalName="Team">
      <xsd:simpleType>
        <xsd:restriction base="dms:Text"/>
      </xsd:simpleType>
    </xsd:element>
    <xsd:element name="Topic" ma:index="20" nillable="true" ma:displayName="Topic" ma:default="Strategic solution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608f39-3744-4f2b-8ddf-6077ea9dcf84"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Length (seconds)" ma:internalName="MediaLengthInSeconds" ma:readOnly="true">
      <xsd:simpleType>
        <xsd:restriction base="dms:Unknown"/>
      </xsd:simpleType>
    </xsd:element>
    <xsd:element name="MediaServiceAutoTags" ma:index="33" nillable="true" ma:displayName="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b1b97e-58d0-4f82-aacc-4a7d6fa43521"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06F4A7C6-55FA-4081-AE6B-F76B277351D3}">
  <ds:schemaRefs>
    <ds:schemaRef ds:uri="http://schemas.microsoft.com/sharepoint/v3/contenttype/forms"/>
  </ds:schemaRefs>
</ds:datastoreItem>
</file>

<file path=customXml/itemProps2.xml><?xml version="1.0" encoding="utf-8"?>
<ds:datastoreItem xmlns:ds="http://schemas.openxmlformats.org/officeDocument/2006/customXml" ds:itemID="{1FBCE994-B74E-4056-893B-71366F26388B}">
  <ds:schemaRefs>
    <ds:schemaRef ds:uri="http://purl.org/dc/elements/1.1/"/>
    <ds:schemaRef ds:uri="http://schemas.microsoft.com/office/2006/metadata/properties"/>
    <ds:schemaRef ds:uri="50608f39-3744-4f2b-8ddf-6077ea9dcf84"/>
    <ds:schemaRef ds:uri="http://schemas.microsoft.com/office/infopath/2007/PartnerControls"/>
    <ds:schemaRef ds:uri="http://purl.org/dc/terms/"/>
    <ds:schemaRef ds:uri="662745e8-e224-48e8-a2e3-254862b8c2f5"/>
    <ds:schemaRef ds:uri="http://schemas.microsoft.com/office/2006/documentManagement/types"/>
    <ds:schemaRef ds:uri="http://schemas.openxmlformats.org/package/2006/metadata/core-properties"/>
    <ds:schemaRef ds:uri="41b1b97e-58d0-4f82-aacc-4a7d6fa43521"/>
    <ds:schemaRef ds:uri="http://www.w3.org/XML/1998/namespace"/>
    <ds:schemaRef ds:uri="http://purl.org/dc/dcmitype/"/>
  </ds:schemaRefs>
</ds:datastoreItem>
</file>

<file path=customXml/itemProps3.xml><?xml version="1.0" encoding="utf-8"?>
<ds:datastoreItem xmlns:ds="http://schemas.openxmlformats.org/officeDocument/2006/customXml" ds:itemID="{14DB43BA-6DB0-4FCD-8964-497F94AA87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50608f39-3744-4f2b-8ddf-6077ea9dcf84"/>
    <ds:schemaRef ds:uri="41b1b97e-58d0-4f82-aacc-4a7d6fa435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A627BA5-009E-409B-B2CC-448B5985350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vt:lpstr>
      <vt:lpstr>Background</vt:lpstr>
      <vt:lpstr>River Wensum SAC</vt:lpstr>
      <vt:lpstr>Instructions</vt:lpstr>
      <vt:lpstr>Development site details</vt:lpstr>
      <vt:lpstr>Stage 1</vt:lpstr>
      <vt:lpstr>Stage 2</vt:lpstr>
      <vt:lpstr>Stage 3</vt:lpstr>
      <vt:lpstr>Stage 4</vt:lpstr>
      <vt:lpstr>Stage 4 (2)</vt:lpstr>
      <vt:lpstr>Lookups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River Wensum Nutrient Neutrality Budget Calculator </dc:title>
  <dc:creator>Sealy, Declan</dc:creator>
  <cp:lastModifiedBy>Sadler, Ann-Marie</cp:lastModifiedBy>
  <dcterms:created xsi:type="dcterms:W3CDTF">2021-10-14T13:24:34Z</dcterms:created>
  <dcterms:modified xsi:type="dcterms:W3CDTF">2023-01-06T13:33:17Z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0x010100A5BF1C78D9F64B679A5EBDE1C6598EBC01001709A144B6CB1247B0EB17D39170EEBB</vt:lpwstr>
  </property>
</Properties>
</file>