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ustomProperty11.bin" ContentType="application/vnd.openxmlformats-officedocument.spreadsheetml.customProperty"/>
  <Override PartName="/xl/customProperty12.bin" ContentType="application/vnd.openxmlformats-officedocument.spreadsheetml.customProperty"/>
  <Override PartName="/xl/drawings/drawing3.xml" ContentType="application/vnd.openxmlformats-officedocument.drawing+xml"/>
  <Override PartName="/xl/customProperty13.bin" ContentType="application/vnd.openxmlformats-officedocument.spreadsheetml.customProperty"/>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Y:\Shared\Projects\Cokenach\P-7000\P-7900\7948\Docs\2023\HRA Update Jan 2023\HRA Plans &amp; Apps Jan 2023\FINAL\"/>
    </mc:Choice>
  </mc:AlternateContent>
  <xr:revisionPtr revIDLastSave="0" documentId="13_ncr:1_{71F39D72-4BBE-46E5-B325-6785B3D10B7A}" xr6:coauthVersionLast="47" xr6:coauthVersionMax="47" xr10:uidLastSave="{00000000-0000-0000-0000-000000000000}"/>
  <bookViews>
    <workbookView xWindow="-120" yWindow="-120" windowWidth="29040" windowHeight="15840" activeTab="1" xr2:uid="{BE6BC844-1511-4CC1-AB95-7E453621EEBF}"/>
  </bookViews>
  <sheets>
    <sheet name="Introduction" sheetId="8" r:id="rId1"/>
    <sheet name="Info" sheetId="3" r:id="rId2"/>
    <sheet name="Stage 1" sheetId="1" r:id="rId3"/>
    <sheet name="Stage 2" sheetId="4" r:id="rId4"/>
    <sheet name="Stage 3" sheetId="5" r:id="rId5"/>
    <sheet name="Stage 4" sheetId="6" r:id="rId6"/>
    <sheet name="Mitigation - current" sheetId="7" r:id="rId7"/>
    <sheet name="Mitigation - post 2025" sheetId="28" r:id="rId8"/>
    <sheet name="Mitigation - post 2030" sheetId="30" r:id="rId9"/>
    <sheet name="Mitigation comparison" sheetId="14" r:id="rId10"/>
    <sheet name="Zero value Calc" sheetId="18" r:id="rId11"/>
    <sheet name="Graph Calculations" sheetId="19" state="hidden" r:id="rId12"/>
    <sheet name="Rainfall" sheetId="29" r:id="rId13"/>
    <sheet name="Data Tables" sheetId="2" r:id="rId14"/>
    <sheet name="_SSC" sheetId="17" state="veryHidden" r:id="rId15"/>
  </sheets>
  <definedNames>
    <definedName name="_Ctrl_1" hidden="1">Introduction!#REF!</definedName>
    <definedName name="_Ctrl_2" hidden="1">Introduction!$C$174</definedName>
    <definedName name="_Ctrl_3" hidden="1">Introduction!$C$176</definedName>
    <definedName name="_Ctrl_4" hidden="1">Introduction!$C$36</definedName>
    <definedName name="_Ctrl_5" hidden="1">Info!$C$13</definedName>
    <definedName name="_Ctrl_6" hidden="1">Info!$E$8</definedName>
    <definedName name="_Ctrl_65" hidden="1">'Zero value Calc'!#REF!</definedName>
    <definedName name="_Ctrl_7" hidden="1">Info!$E$6</definedName>
    <definedName name="_ctrl_ram_63" localSheetId="11" hidden="1">'Graph Calculations'!#REF!</definedName>
    <definedName name="_ctrl_ram_63" hidden="1">'Zero value Calc'!$K$15</definedName>
    <definedName name="_dep_ram_63" localSheetId="11" hidden="1">'Graph Calculations'!$E$5:$AB$14</definedName>
    <definedName name="_dep_ram_63" hidden="1">'Zero value Calc'!#REF!</definedName>
    <definedName name="No" localSheetId="11">'Graph Calculations'!#REF!</definedName>
    <definedName name="No" localSheetId="10">'Zero value Calc'!#REF!</definedName>
    <definedName name="No">'Stage 4'!#REF!</definedName>
    <definedName name="OsTWs" localSheetId="7">Table3[Treatment type]</definedName>
    <definedName name="OsTWs" localSheetId="8">Table3[Treatment type]</definedName>
    <definedName name="OsTWs">Table3[Treatment type]</definedName>
    <definedName name="permit">'Data Tables'!$B$3:$D$86</definedName>
    <definedName name="permits">'Data Tables'!$B$3:$I$86</definedName>
    <definedName name="permits_2030">Table1[]</definedName>
    <definedName name="_xlnm.Print_Area" localSheetId="13">'Data Tables'!$B$2:$X$24</definedName>
    <definedName name="_xlnm.Print_Area" localSheetId="11">'Graph Calculations'!$B$2:$C$52</definedName>
    <definedName name="_xlnm.Print_Area" localSheetId="1">Info!$B$3:$N$17</definedName>
    <definedName name="_xlnm.Print_Area" localSheetId="0">Introduction!$B$2:$Q$219</definedName>
    <definedName name="_xlnm.Print_Area" localSheetId="6">'Mitigation - current'!$B$2:$AC$89</definedName>
    <definedName name="_xlnm.Print_Area" localSheetId="7">'Mitigation - post 2025'!$B$2:$AA$88</definedName>
    <definedName name="_xlnm.Print_Area" localSheetId="8">'Mitigation - post 2030'!$B$2:$AC$89</definedName>
    <definedName name="_xlnm.Print_Area" localSheetId="9">'Mitigation comparison'!$B$2:$S$17</definedName>
    <definedName name="_xlnm.Print_Area" localSheetId="2">'Stage 1'!$C$2:$AI$64</definedName>
    <definedName name="_xlnm.Print_Area" localSheetId="3">'Stage 2'!$B$2:$T$48</definedName>
    <definedName name="_xlnm.Print_Area" localSheetId="4">'Stage 3'!$B$2:$N$40</definedName>
    <definedName name="_xlnm.Print_Area" localSheetId="5">'Stage 4'!$B$2:$U$60</definedName>
    <definedName name="_xlnm.Print_Area" localSheetId="10">'Zero value Calc'!$B$2:$C$54</definedName>
    <definedName name="_xlnm.Print_Titles" localSheetId="13">'Data Tables'!$2:$2</definedName>
    <definedName name="Taunton">'Data Tables'!#REF!</definedName>
    <definedName name="Unknown">'Data Tables'!#REF!</definedName>
    <definedName name="w">'Data Tables'!$B$10:$B$24</definedName>
    <definedName name="Wastewater">'Data Tables'!$B$3:$B$86</definedName>
    <definedName name="WwTW">'Data Tables'!$B$10:$B$24</definedName>
    <definedName name="WwTWs">'Stage 1'!$E$34</definedName>
    <definedName name="Yes" localSheetId="11">'Graph Calculations'!#REF!</definedName>
    <definedName name="Yes" localSheetId="10">'Zero value Calc'!$I$29</definedName>
    <definedName name="Yes">'Stage 4'!#REF!</definedName>
  </definedNames>
  <calcPr calcId="191029"/>
  <webPublishObjects count="1">
    <webPublishObject id="9817" divId="Norfolk budget Calc_V1.0_9817" destinationFile="C:\Users\305327\Documents\Environmental Services proposals\Norfolk Nutrients Opportunity\Calculator\Norfolk budget Calc_V1.0.htm" title="Norfolk Nutrient Calculator"/>
  </webPublishObject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29" i="1" l="1"/>
  <c r="Q35" i="4" l="1"/>
  <c r="O35" i="4"/>
  <c r="O34" i="4"/>
  <c r="G6" i="2" l="1"/>
  <c r="G27" i="2"/>
  <c r="G54" i="2"/>
  <c r="G85" i="2"/>
  <c r="G77" i="2"/>
  <c r="G67" i="2"/>
  <c r="D6" i="2"/>
  <c r="D27" i="2"/>
  <c r="D54" i="2"/>
  <c r="D85" i="2" l="1"/>
  <c r="D75" i="2"/>
  <c r="Q28" i="4" l="1"/>
  <c r="Q27" i="4"/>
  <c r="O27" i="4"/>
  <c r="AB59" i="2" l="1"/>
  <c r="F22" i="4" l="1"/>
  <c r="K4" i="2" l="1"/>
  <c r="K5" i="2"/>
  <c r="K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3" i="2"/>
  <c r="J3" i="2" l="1"/>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G52" i="2"/>
  <c r="G50" i="2"/>
  <c r="M8" i="14"/>
  <c r="M9" i="14"/>
  <c r="M10" i="14"/>
  <c r="M11" i="14"/>
  <c r="M7" i="14"/>
  <c r="M87" i="30"/>
  <c r="K87" i="30"/>
  <c r="R72" i="30"/>
  <c r="R71" i="30"/>
  <c r="P71" i="30"/>
  <c r="R70" i="30"/>
  <c r="P70" i="30"/>
  <c r="R69" i="30"/>
  <c r="P69" i="30"/>
  <c r="R68" i="30"/>
  <c r="P68" i="30"/>
  <c r="R67" i="30"/>
  <c r="P67" i="30"/>
  <c r="M46" i="30"/>
  <c r="K46" i="30"/>
  <c r="AB44" i="30"/>
  <c r="AA44" i="30"/>
  <c r="K44" i="30"/>
  <c r="E44" i="30"/>
  <c r="T44" i="30" s="1"/>
  <c r="AB43" i="30"/>
  <c r="AA43" i="30"/>
  <c r="T43" i="30"/>
  <c r="K43" i="30"/>
  <c r="E43" i="30"/>
  <c r="AB42" i="30"/>
  <c r="AA42" i="30"/>
  <c r="K42" i="30"/>
  <c r="E42" i="30"/>
  <c r="T42" i="30" s="1"/>
  <c r="AB41" i="30"/>
  <c r="AA41" i="30"/>
  <c r="K41" i="30"/>
  <c r="E41" i="30"/>
  <c r="T41" i="30" s="1"/>
  <c r="AB40" i="30"/>
  <c r="AA40" i="30"/>
  <c r="K40" i="30"/>
  <c r="AB39" i="30"/>
  <c r="AA39" i="30"/>
  <c r="T39" i="30"/>
  <c r="E39" i="30"/>
  <c r="AB38" i="30"/>
  <c r="AA38" i="30"/>
  <c r="E38" i="30"/>
  <c r="T38" i="30" s="1"/>
  <c r="AB37" i="30"/>
  <c r="AA37" i="30"/>
  <c r="T37" i="30"/>
  <c r="M37" i="30"/>
  <c r="K37" i="30"/>
  <c r="E37" i="30"/>
  <c r="AB36" i="30"/>
  <c r="AA36" i="30"/>
  <c r="E36" i="30"/>
  <c r="T36" i="30" s="1"/>
  <c r="AB35" i="30"/>
  <c r="AA35" i="30"/>
  <c r="T35" i="30"/>
  <c r="M35" i="30"/>
  <c r="K35" i="30"/>
  <c r="E35" i="30"/>
  <c r="AB34" i="30"/>
  <c r="AA34" i="30"/>
  <c r="E34" i="30"/>
  <c r="T34" i="30" s="1"/>
  <c r="AB33" i="30"/>
  <c r="AA33" i="30"/>
  <c r="M33" i="30"/>
  <c r="K33" i="30"/>
  <c r="E33" i="30"/>
  <c r="T33" i="30" s="1"/>
  <c r="AB32" i="30"/>
  <c r="AA32" i="30"/>
  <c r="E32" i="30"/>
  <c r="T32" i="30" s="1"/>
  <c r="AB31" i="30"/>
  <c r="AA31" i="30"/>
  <c r="M31" i="30"/>
  <c r="K31" i="30"/>
  <c r="AB30" i="30"/>
  <c r="AA30" i="30"/>
  <c r="AB29" i="30"/>
  <c r="AA29" i="30"/>
  <c r="M29" i="30"/>
  <c r="K29" i="30"/>
  <c r="AB28" i="30"/>
  <c r="AA28" i="30"/>
  <c r="M28" i="30"/>
  <c r="K28" i="30"/>
  <c r="AB27" i="30"/>
  <c r="AA27" i="30"/>
  <c r="M27" i="30"/>
  <c r="K27" i="30"/>
  <c r="M47" i="1"/>
  <c r="M46" i="1"/>
  <c r="Z46" i="30" l="1"/>
  <c r="R49" i="30" s="1"/>
  <c r="R83" i="30" s="1"/>
  <c r="Y46" i="30"/>
  <c r="P49" i="30" s="1"/>
  <c r="R74" i="30"/>
  <c r="P83" i="30" l="1"/>
  <c r="P72" i="30"/>
  <c r="P85" i="30"/>
  <c r="P84" i="30"/>
  <c r="P82" i="30"/>
  <c r="P80" i="30"/>
  <c r="R85" i="30"/>
  <c r="R84" i="30"/>
  <c r="R82" i="30"/>
  <c r="R80" i="30"/>
  <c r="M12" i="14" l="1"/>
  <c r="P74" i="30"/>
  <c r="R10" i="6" l="1"/>
  <c r="K45" i="28" l="1"/>
  <c r="M46" i="7"/>
  <c r="K46" i="7"/>
  <c r="R67" i="7" l="1"/>
  <c r="R68" i="7"/>
  <c r="R69" i="7"/>
  <c r="O68" i="28"/>
  <c r="O67" i="28"/>
  <c r="P69" i="7"/>
  <c r="AA31" i="7"/>
  <c r="P71" i="7"/>
  <c r="P70" i="7"/>
  <c r="P67" i="7"/>
  <c r="K7" i="14" s="1"/>
  <c r="Y38" i="28"/>
  <c r="Y37" i="28"/>
  <c r="Y36" i="28"/>
  <c r="Y35" i="28"/>
  <c r="Y34" i="28"/>
  <c r="Y33" i="28"/>
  <c r="Y32" i="28"/>
  <c r="Y31" i="28"/>
  <c r="AA32" i="7"/>
  <c r="Y41" i="28"/>
  <c r="Y40" i="28"/>
  <c r="Y42" i="28"/>
  <c r="Y43" i="28"/>
  <c r="Y39" i="28"/>
  <c r="Y30" i="28"/>
  <c r="Y29" i="28"/>
  <c r="Y28" i="28"/>
  <c r="Y27" i="28"/>
  <c r="Y26" i="28"/>
  <c r="K43" i="28"/>
  <c r="K41" i="28"/>
  <c r="K40" i="28"/>
  <c r="K39" i="28"/>
  <c r="K32" i="28"/>
  <c r="K34" i="28"/>
  <c r="K36" i="28"/>
  <c r="K26" i="28"/>
  <c r="K27" i="7"/>
  <c r="K42" i="28"/>
  <c r="K28" i="28"/>
  <c r="K27" i="28"/>
  <c r="K40" i="7"/>
  <c r="AB31" i="7"/>
  <c r="AB30" i="7"/>
  <c r="AB29" i="7"/>
  <c r="AB28" i="7"/>
  <c r="AB27" i="7"/>
  <c r="AA30" i="7"/>
  <c r="AA29" i="7"/>
  <c r="AA28" i="7"/>
  <c r="AA27" i="7"/>
  <c r="M27" i="7"/>
  <c r="M28" i="7"/>
  <c r="M29" i="7"/>
  <c r="M31" i="7"/>
  <c r="AB33" i="7"/>
  <c r="AB34" i="7"/>
  <c r="AB35" i="7"/>
  <c r="AB36" i="7"/>
  <c r="AB37" i="7"/>
  <c r="AB38" i="7"/>
  <c r="AB39" i="7"/>
  <c r="AB32" i="7"/>
  <c r="AA33" i="7"/>
  <c r="AA34" i="7"/>
  <c r="AA35" i="7"/>
  <c r="AA36" i="7"/>
  <c r="AA37" i="7"/>
  <c r="AA38" i="7"/>
  <c r="AA39" i="7"/>
  <c r="M33" i="7"/>
  <c r="M35" i="7"/>
  <c r="M37" i="7"/>
  <c r="K33" i="7"/>
  <c r="K35" i="7"/>
  <c r="K37" i="7"/>
  <c r="Q29" i="4"/>
  <c r="M34" i="30" s="1"/>
  <c r="Q30" i="4"/>
  <c r="Q31" i="4"/>
  <c r="M36" i="30" s="1"/>
  <c r="Q32" i="4"/>
  <c r="Q33" i="4"/>
  <c r="Q34" i="4"/>
  <c r="M39" i="30" s="1"/>
  <c r="O28" i="4"/>
  <c r="O29" i="4"/>
  <c r="K34" i="30" s="1"/>
  <c r="O30" i="4"/>
  <c r="O31" i="4"/>
  <c r="K36" i="30" s="1"/>
  <c r="O32" i="4"/>
  <c r="O33" i="4"/>
  <c r="K39" i="30"/>
  <c r="AB51" i="2"/>
  <c r="F26" i="4"/>
  <c r="E31" i="30" s="1"/>
  <c r="T31" i="30" s="1"/>
  <c r="F25" i="4"/>
  <c r="E30" i="30" s="1"/>
  <c r="T30" i="30" s="1"/>
  <c r="F24" i="4"/>
  <c r="E29" i="30" s="1"/>
  <c r="T29" i="30" s="1"/>
  <c r="F23" i="4"/>
  <c r="E28" i="30" s="1"/>
  <c r="T28" i="30" s="1"/>
  <c r="E27" i="30"/>
  <c r="T27" i="30" s="1"/>
  <c r="AB55" i="2"/>
  <c r="AB54" i="2"/>
  <c r="AB53" i="2"/>
  <c r="AB58" i="2" s="1"/>
  <c r="AB52" i="2"/>
  <c r="AE47" i="2" s="1"/>
  <c r="AB45" i="2"/>
  <c r="AB44" i="2"/>
  <c r="AB43" i="2"/>
  <c r="AB42" i="2"/>
  <c r="AB41" i="2"/>
  <c r="AB40" i="2"/>
  <c r="AB39" i="2"/>
  <c r="K34" i="7" l="1"/>
  <c r="M34" i="7"/>
  <c r="K33" i="28"/>
  <c r="M36" i="7"/>
  <c r="K35" i="28"/>
  <c r="K36" i="7"/>
  <c r="K38" i="28"/>
  <c r="M39" i="7"/>
  <c r="K39" i="7"/>
  <c r="K37" i="28"/>
  <c r="K38" i="30"/>
  <c r="M38" i="7"/>
  <c r="M38" i="30"/>
  <c r="K32" i="7"/>
  <c r="K32" i="30"/>
  <c r="M32" i="7"/>
  <c r="M32" i="30"/>
  <c r="AC45" i="2"/>
  <c r="K31" i="28"/>
  <c r="K38" i="7"/>
  <c r="AK44" i="2"/>
  <c r="AG43" i="2"/>
  <c r="AI48" i="2"/>
  <c r="AK46" i="2"/>
  <c r="AE40" i="2"/>
  <c r="AK45" i="2"/>
  <c r="AK40" i="2"/>
  <c r="AG41" i="2"/>
  <c r="AI43" i="2"/>
  <c r="AK43" i="2"/>
  <c r="AH40" i="2"/>
  <c r="AJ43" i="2"/>
  <c r="AJ48" i="2"/>
  <c r="AJ44" i="2"/>
  <c r="AJ40" i="2"/>
  <c r="AC47" i="2"/>
  <c r="AC41" i="2"/>
  <c r="AG39" i="2"/>
  <c r="AC48" i="2"/>
  <c r="AI46" i="2"/>
  <c r="AH45" i="2"/>
  <c r="AG44" i="2"/>
  <c r="O24" i="4" s="1"/>
  <c r="AC43" i="2"/>
  <c r="AK41" i="2"/>
  <c r="AC40" i="2"/>
  <c r="AE41" i="2"/>
  <c r="AC39" i="2"/>
  <c r="AC42" i="2"/>
  <c r="AB56" i="2"/>
  <c r="AD41" i="2" s="1"/>
  <c r="AI39" i="2"/>
  <c r="AK47" i="2"/>
  <c r="AG46" i="2"/>
  <c r="AG45" i="2"/>
  <c r="AE44" i="2"/>
  <c r="AK42" i="2"/>
  <c r="AI41" i="2"/>
  <c r="AI40" i="2"/>
  <c r="AC46" i="2"/>
  <c r="AE42" i="2"/>
  <c r="AG48" i="2"/>
  <c r="AE39" i="2"/>
  <c r="AB60" i="2"/>
  <c r="AL40" i="2" s="1"/>
  <c r="AK39" i="2"/>
  <c r="P81" i="30" s="1"/>
  <c r="AI47" i="2"/>
  <c r="AC44" i="2"/>
  <c r="AI42" i="2"/>
  <c r="AH41" i="2"/>
  <c r="AG40" i="2"/>
  <c r="AB57" i="2"/>
  <c r="AF44" i="2" s="1"/>
  <c r="AE43" i="2"/>
  <c r="AE48" i="2"/>
  <c r="AI45" i="2"/>
  <c r="AI44" i="2"/>
  <c r="AK48" i="2"/>
  <c r="AG47" i="2"/>
  <c r="AE46" i="2"/>
  <c r="AE45" i="2"/>
  <c r="AG42" i="2"/>
  <c r="AH39" i="2"/>
  <c r="AH47" i="2"/>
  <c r="AJ46" i="2"/>
  <c r="AH43" i="2"/>
  <c r="AJ42" i="2"/>
  <c r="AJ39" i="2"/>
  <c r="AH44" i="2"/>
  <c r="Q24" i="4" s="1"/>
  <c r="AJ47" i="2"/>
  <c r="AH46" i="2"/>
  <c r="AJ45" i="2"/>
  <c r="AH42" i="2"/>
  <c r="AJ41" i="2"/>
  <c r="AH48" i="2"/>
  <c r="G79" i="2"/>
  <c r="G80" i="2"/>
  <c r="G81" i="2"/>
  <c r="G82" i="2"/>
  <c r="G83" i="2"/>
  <c r="G84" i="2"/>
  <c r="G78" i="2"/>
  <c r="G76" i="2"/>
  <c r="G72" i="2"/>
  <c r="G73" i="2"/>
  <c r="G74" i="2"/>
  <c r="G71" i="2"/>
  <c r="G69" i="2"/>
  <c r="G68" i="2"/>
  <c r="G62" i="2"/>
  <c r="G63" i="2"/>
  <c r="G64" i="2"/>
  <c r="G65" i="2"/>
  <c r="G66" i="2"/>
  <c r="G61" i="2"/>
  <c r="G59" i="2"/>
  <c r="G58" i="2"/>
  <c r="G56" i="2"/>
  <c r="G33" i="2"/>
  <c r="G34" i="2"/>
  <c r="G35" i="2"/>
  <c r="G36" i="2"/>
  <c r="G37" i="2"/>
  <c r="G38" i="2"/>
  <c r="G39" i="2"/>
  <c r="G40" i="2"/>
  <c r="G41" i="2"/>
  <c r="G42" i="2"/>
  <c r="G43" i="2"/>
  <c r="G44" i="2"/>
  <c r="G45" i="2"/>
  <c r="G46" i="2"/>
  <c r="G47" i="2"/>
  <c r="G48" i="2"/>
  <c r="G49" i="2"/>
  <c r="G51" i="2"/>
  <c r="G53" i="2"/>
  <c r="G32" i="2"/>
  <c r="G29" i="2"/>
  <c r="G30" i="2"/>
  <c r="G28" i="2"/>
  <c r="G25" i="2"/>
  <c r="G26" i="2"/>
  <c r="G24" i="2"/>
  <c r="G21" i="2"/>
  <c r="G22" i="2"/>
  <c r="G20" i="2"/>
  <c r="G18" i="2"/>
  <c r="G17" i="2"/>
  <c r="G15" i="2"/>
  <c r="G12" i="2"/>
  <c r="G13" i="2"/>
  <c r="G11" i="2"/>
  <c r="G8" i="2"/>
  <c r="G9" i="2"/>
  <c r="G7" i="2"/>
  <c r="G5" i="2"/>
  <c r="G4" i="2"/>
  <c r="D77" i="2"/>
  <c r="D78" i="2"/>
  <c r="D79" i="2"/>
  <c r="D80" i="2"/>
  <c r="D81" i="2"/>
  <c r="D82" i="2"/>
  <c r="D83" i="2"/>
  <c r="D84" i="2"/>
  <c r="D76" i="2"/>
  <c r="D72" i="2"/>
  <c r="D73" i="2"/>
  <c r="D74" i="2"/>
  <c r="D71" i="2"/>
  <c r="D69" i="2"/>
  <c r="D68" i="2"/>
  <c r="D62" i="2"/>
  <c r="D63" i="2"/>
  <c r="D64" i="2"/>
  <c r="D65" i="2"/>
  <c r="D66" i="2"/>
  <c r="D61" i="2"/>
  <c r="D59" i="2"/>
  <c r="D58" i="2"/>
  <c r="D56" i="2"/>
  <c r="D53" i="2"/>
  <c r="D51" i="2"/>
  <c r="D33" i="2"/>
  <c r="D34" i="2"/>
  <c r="D35" i="2"/>
  <c r="D36" i="2"/>
  <c r="D37" i="2"/>
  <c r="D38" i="2"/>
  <c r="D39" i="2"/>
  <c r="D40" i="2"/>
  <c r="D41" i="2"/>
  <c r="D42" i="2"/>
  <c r="D43" i="2"/>
  <c r="D44" i="2"/>
  <c r="D45" i="2"/>
  <c r="D46" i="2"/>
  <c r="D47" i="2"/>
  <c r="D48" i="2"/>
  <c r="D49" i="2"/>
  <c r="D32" i="2"/>
  <c r="D29" i="2"/>
  <c r="D30" i="2"/>
  <c r="D28" i="2"/>
  <c r="D25" i="2"/>
  <c r="D26" i="2"/>
  <c r="D24" i="2"/>
  <c r="D21" i="2"/>
  <c r="D22" i="2"/>
  <c r="D20" i="2"/>
  <c r="D18" i="2"/>
  <c r="D17" i="2"/>
  <c r="D15" i="2"/>
  <c r="D12" i="2"/>
  <c r="D13" i="2"/>
  <c r="D11" i="2"/>
  <c r="D8" i="2"/>
  <c r="D9" i="2"/>
  <c r="D7" i="2"/>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3" i="2"/>
  <c r="D5" i="2"/>
  <c r="D4" i="2"/>
  <c r="O25" i="4" l="1"/>
  <c r="O23" i="4"/>
  <c r="O26" i="4"/>
  <c r="Q25" i="4"/>
  <c r="O22" i="4"/>
  <c r="AD48" i="2"/>
  <c r="K36" i="5"/>
  <c r="AD45" i="2"/>
  <c r="AL41" i="2"/>
  <c r="K29" i="7"/>
  <c r="K28" i="7"/>
  <c r="AL48" i="2"/>
  <c r="AL46" i="2"/>
  <c r="AL47" i="2"/>
  <c r="AL43" i="2"/>
  <c r="AL39" i="2"/>
  <c r="R81" i="30" s="1"/>
  <c r="AL44" i="2"/>
  <c r="Q26" i="4" s="1"/>
  <c r="AL42" i="2"/>
  <c r="AL45" i="2"/>
  <c r="AF48" i="2"/>
  <c r="AF47" i="2"/>
  <c r="AF39" i="2"/>
  <c r="Q23" i="4" s="1"/>
  <c r="AF45" i="2"/>
  <c r="AF46" i="2"/>
  <c r="AF41" i="2"/>
  <c r="AF42" i="2"/>
  <c r="AF43" i="2"/>
  <c r="AD39" i="2"/>
  <c r="AF40" i="2"/>
  <c r="AD44" i="2"/>
  <c r="Q22" i="4" s="1"/>
  <c r="AD40" i="2"/>
  <c r="AD43" i="2"/>
  <c r="AD42" i="2"/>
  <c r="AD46" i="2"/>
  <c r="AD47" i="2"/>
  <c r="M30" i="30" l="1"/>
  <c r="M30" i="7"/>
  <c r="K30" i="30"/>
  <c r="K29" i="28"/>
  <c r="K30" i="7"/>
  <c r="K38" i="5"/>
  <c r="K31" i="7"/>
  <c r="K30" i="28"/>
  <c r="K42" i="7" l="1"/>
  <c r="K43" i="7"/>
  <c r="K41" i="7"/>
  <c r="K44" i="7"/>
  <c r="W45" i="28"/>
  <c r="O48" i="28" s="1"/>
  <c r="K86" i="28"/>
  <c r="O71" i="28"/>
  <c r="O70" i="28"/>
  <c r="O69" i="28"/>
  <c r="O66" i="28"/>
  <c r="E43" i="28"/>
  <c r="R43" i="28" s="1"/>
  <c r="E42" i="28"/>
  <c r="R42" i="28" s="1"/>
  <c r="E41" i="28"/>
  <c r="R41" i="28" s="1"/>
  <c r="E40" i="28"/>
  <c r="R40" i="28" s="1"/>
  <c r="E38" i="28"/>
  <c r="R38" i="28" s="1"/>
  <c r="E37" i="28"/>
  <c r="R37" i="28" s="1"/>
  <c r="E36" i="28"/>
  <c r="R36" i="28" s="1"/>
  <c r="E35" i="28"/>
  <c r="R35" i="28" s="1"/>
  <c r="E34" i="28"/>
  <c r="R34" i="28" s="1"/>
  <c r="E33" i="28"/>
  <c r="R33" i="28" s="1"/>
  <c r="E32" i="28"/>
  <c r="R32" i="28" s="1"/>
  <c r="E31" i="28"/>
  <c r="R31" i="28" s="1"/>
  <c r="M87" i="7"/>
  <c r="K87" i="7"/>
  <c r="R71" i="7"/>
  <c r="R70" i="7"/>
  <c r="AB40" i="7"/>
  <c r="AB41" i="7"/>
  <c r="AB42" i="7"/>
  <c r="AB43" i="7"/>
  <c r="AB44" i="7"/>
  <c r="AA41" i="7"/>
  <c r="AA42" i="7"/>
  <c r="AA43" i="7"/>
  <c r="AA44" i="7"/>
  <c r="AA40" i="7"/>
  <c r="E32" i="7"/>
  <c r="T32" i="7" s="1"/>
  <c r="E33" i="7"/>
  <c r="T33" i="7" s="1"/>
  <c r="E34" i="7"/>
  <c r="T34" i="7" s="1"/>
  <c r="E35" i="7"/>
  <c r="T35" i="7" s="1"/>
  <c r="E36" i="7"/>
  <c r="T36" i="7" s="1"/>
  <c r="E37" i="7"/>
  <c r="T37" i="7" s="1"/>
  <c r="E38" i="7"/>
  <c r="T38" i="7" s="1"/>
  <c r="E39" i="7"/>
  <c r="T39" i="7" s="1"/>
  <c r="E41" i="7"/>
  <c r="T41" i="7" s="1"/>
  <c r="E42" i="7"/>
  <c r="T42" i="7" s="1"/>
  <c r="E43" i="7"/>
  <c r="T43" i="7" s="1"/>
  <c r="E44" i="7"/>
  <c r="T44" i="7" s="1"/>
  <c r="O81" i="28" l="1"/>
  <c r="O80" i="28"/>
  <c r="Y46" i="7"/>
  <c r="P49" i="7" s="1"/>
  <c r="Z46" i="7"/>
  <c r="R49" i="7" s="1"/>
  <c r="R72" i="7" s="1"/>
  <c r="O73" i="28"/>
  <c r="P81" i="7" l="1"/>
  <c r="P72" i="7"/>
  <c r="R80" i="7"/>
  <c r="R81" i="7"/>
  <c r="R74" i="7"/>
  <c r="P68" i="7"/>
  <c r="R82" i="7"/>
  <c r="P82" i="7"/>
  <c r="R83" i="7"/>
  <c r="R85" i="7"/>
  <c r="R84" i="7"/>
  <c r="K15" i="18" l="1"/>
  <c r="S10" i="6" l="1"/>
  <c r="S9" i="6"/>
  <c r="K30" i="5"/>
  <c r="Q36" i="4"/>
  <c r="Q37" i="4"/>
  <c r="Q38" i="4"/>
  <c r="Q39" i="4"/>
  <c r="F8" i="19" l="1"/>
  <c r="S20" i="6"/>
  <c r="K25" i="18"/>
  <c r="H20" i="19"/>
  <c r="P20" i="19"/>
  <c r="X20" i="19"/>
  <c r="I20" i="19"/>
  <c r="Q20" i="19"/>
  <c r="Y20" i="19"/>
  <c r="J20" i="19"/>
  <c r="R20" i="19"/>
  <c r="Z20" i="19"/>
  <c r="K20" i="19"/>
  <c r="S20" i="19"/>
  <c r="L20" i="19"/>
  <c r="T20" i="19"/>
  <c r="M20" i="19"/>
  <c r="U20" i="19"/>
  <c r="F20" i="19"/>
  <c r="N20" i="19"/>
  <c r="V20" i="19"/>
  <c r="G20" i="19"/>
  <c r="O20" i="19"/>
  <c r="W20" i="19"/>
  <c r="K27" i="18"/>
  <c r="S22" i="6"/>
  <c r="O37" i="4"/>
  <c r="O36" i="4"/>
  <c r="O38" i="4"/>
  <c r="O39" i="4"/>
  <c r="F35" i="4"/>
  <c r="E40" i="30" s="1"/>
  <c r="T40" i="30" s="1"/>
  <c r="E31" i="7" l="1"/>
  <c r="T31" i="7" s="1"/>
  <c r="E30" i="28"/>
  <c r="R30" i="28" s="1"/>
  <c r="E29" i="28"/>
  <c r="R29" i="28" s="1"/>
  <c r="E30" i="7"/>
  <c r="T30" i="7" s="1"/>
  <c r="E29" i="7"/>
  <c r="T29" i="7" s="1"/>
  <c r="E28" i="28"/>
  <c r="R28" i="28" s="1"/>
  <c r="E39" i="28"/>
  <c r="R39" i="28" s="1"/>
  <c r="E40" i="7"/>
  <c r="T40" i="7" s="1"/>
  <c r="E27" i="7"/>
  <c r="T27" i="7" s="1"/>
  <c r="E26" i="28"/>
  <c r="R26" i="28" s="1"/>
  <c r="E28" i="7"/>
  <c r="T28" i="7" s="1"/>
  <c r="E27" i="28"/>
  <c r="R27" i="28" s="1"/>
  <c r="Q41" i="4"/>
  <c r="K48" i="4" s="1"/>
  <c r="O41" i="4"/>
  <c r="K46" i="4" s="1"/>
  <c r="O20" i="6" l="1"/>
  <c r="K20" i="6"/>
  <c r="O21" i="6"/>
  <c r="K21" i="6"/>
  <c r="K20" i="18"/>
  <c r="S18" i="6"/>
  <c r="K19" i="18"/>
  <c r="S21" i="6"/>
  <c r="G75" i="2"/>
  <c r="D67" i="2"/>
  <c r="K47" i="1"/>
  <c r="K46" i="1"/>
  <c r="L46" i="1" l="1"/>
  <c r="M33" i="6" s="1"/>
  <c r="M10" i="6" l="1"/>
  <c r="M18" i="6"/>
  <c r="L45" i="1"/>
  <c r="V59" i="1" s="1"/>
  <c r="M8" i="6"/>
  <c r="M25" i="6"/>
  <c r="M41" i="6"/>
  <c r="S13" i="6"/>
  <c r="D49" i="6"/>
  <c r="M31" i="6"/>
  <c r="V60" i="1"/>
  <c r="M20" i="6"/>
  <c r="R13" i="6"/>
  <c r="AD47" i="1"/>
  <c r="AD46" i="1"/>
  <c r="S14" i="6" s="1"/>
  <c r="V22" i="1"/>
  <c r="S15" i="6" l="1"/>
  <c r="S12" i="6"/>
  <c r="M55" i="1"/>
  <c r="M54" i="1"/>
  <c r="K55" i="1"/>
  <c r="M12" i="6"/>
  <c r="M27" i="6" s="1"/>
  <c r="M34" i="6" s="1"/>
  <c r="M43" i="6" s="1"/>
  <c r="D50" i="6" s="1"/>
  <c r="L54" i="1"/>
  <c r="V61" i="1" s="1"/>
  <c r="AD55" i="1"/>
  <c r="AD54" i="1"/>
  <c r="S11" i="6"/>
  <c r="K54" i="1"/>
  <c r="L8" i="19"/>
  <c r="W61" i="1" l="1"/>
  <c r="O12" i="6" s="1"/>
  <c r="O27" i="6" s="1"/>
  <c r="W63" i="1"/>
  <c r="O13" i="6" s="1"/>
  <c r="O28" i="6" s="1"/>
  <c r="U61" i="1"/>
  <c r="K12" i="6" s="1"/>
  <c r="U63" i="1"/>
  <c r="K13" i="6" s="1"/>
  <c r="K10" i="28"/>
  <c r="K54" i="28" s="1"/>
  <c r="L53" i="1"/>
  <c r="O35" i="6" l="1"/>
  <c r="O44" i="6" s="1"/>
  <c r="K28" i="6"/>
  <c r="K35" i="6" s="1"/>
  <c r="K44" i="6" s="1"/>
  <c r="D56" i="6" s="1"/>
  <c r="K26" i="18"/>
  <c r="K55" i="28"/>
  <c r="K27" i="6"/>
  <c r="K24" i="18"/>
  <c r="K11" i="30" l="1"/>
  <c r="M56" i="30" s="1"/>
  <c r="D59" i="6"/>
  <c r="K11" i="7"/>
  <c r="M54" i="7" s="1"/>
  <c r="O34" i="6"/>
  <c r="O43" i="6" s="1"/>
  <c r="K34" i="6"/>
  <c r="K10" i="30" l="1"/>
  <c r="D53" i="6"/>
  <c r="M59" i="7"/>
  <c r="M58" i="7"/>
  <c r="M56" i="7"/>
  <c r="M57" i="7"/>
  <c r="M74" i="7"/>
  <c r="R87" i="7"/>
  <c r="M55" i="7"/>
  <c r="R87" i="30"/>
  <c r="M55" i="30"/>
  <c r="M74" i="30"/>
  <c r="M57" i="30"/>
  <c r="M54" i="30"/>
  <c r="M59" i="30"/>
  <c r="M58" i="30"/>
  <c r="K41" i="4"/>
  <c r="K22" i="30" l="1"/>
  <c r="M22" i="30"/>
  <c r="K22" i="7"/>
  <c r="K21" i="28"/>
  <c r="M22" i="7"/>
  <c r="K16" i="18"/>
  <c r="I12" i="19" s="1"/>
  <c r="Z8" i="19"/>
  <c r="O82" i="28" l="1"/>
  <c r="O83" i="28"/>
  <c r="O84" i="28"/>
  <c r="O79" i="28"/>
  <c r="P85" i="7"/>
  <c r="P80" i="7"/>
  <c r="P83" i="7"/>
  <c r="P84" i="7"/>
  <c r="F21" i="19"/>
  <c r="F22" i="19" s="1"/>
  <c r="F23" i="19" s="1"/>
  <c r="H21" i="19"/>
  <c r="H22" i="19" s="1"/>
  <c r="H23" i="19" s="1"/>
  <c r="P21" i="19"/>
  <c r="P22" i="19" s="1"/>
  <c r="P23" i="19" s="1"/>
  <c r="X21" i="19"/>
  <c r="X22" i="19" s="1"/>
  <c r="X23" i="19" s="1"/>
  <c r="I21" i="19"/>
  <c r="I22" i="19" s="1"/>
  <c r="I23" i="19" s="1"/>
  <c r="Z21" i="19"/>
  <c r="Z22" i="19" s="1"/>
  <c r="Z23" i="19" s="1"/>
  <c r="K21" i="19"/>
  <c r="K22" i="19" s="1"/>
  <c r="K23" i="19" s="1"/>
  <c r="S21" i="19"/>
  <c r="S22" i="19" s="1"/>
  <c r="S23" i="19" s="1"/>
  <c r="O21" i="19"/>
  <c r="O22" i="19" s="1"/>
  <c r="O23" i="19" s="1"/>
  <c r="L21" i="19"/>
  <c r="L22" i="19" s="1"/>
  <c r="L23" i="19" s="1"/>
  <c r="T21" i="19"/>
  <c r="T22" i="19" s="1"/>
  <c r="T23" i="19" s="1"/>
  <c r="Q21" i="19"/>
  <c r="Q22" i="19" s="1"/>
  <c r="Q23" i="19" s="1"/>
  <c r="R21" i="19"/>
  <c r="R22" i="19" s="1"/>
  <c r="R23" i="19" s="1"/>
  <c r="M21" i="19"/>
  <c r="M22" i="19" s="1"/>
  <c r="M23" i="19" s="1"/>
  <c r="U21" i="19"/>
  <c r="U22" i="19" s="1"/>
  <c r="U23" i="19" s="1"/>
  <c r="W21" i="19"/>
  <c r="W22" i="19" s="1"/>
  <c r="W23" i="19" s="1"/>
  <c r="Y21" i="19"/>
  <c r="Y22" i="19" s="1"/>
  <c r="Y23" i="19" s="1"/>
  <c r="J21" i="19"/>
  <c r="J22" i="19" s="1"/>
  <c r="J23" i="19" s="1"/>
  <c r="N21" i="19"/>
  <c r="N22" i="19" s="1"/>
  <c r="N23" i="19" s="1"/>
  <c r="V21" i="19"/>
  <c r="V22" i="19" s="1"/>
  <c r="V23" i="19" s="1"/>
  <c r="G21" i="19"/>
  <c r="G22" i="19" s="1"/>
  <c r="G23" i="19" s="1"/>
  <c r="F9" i="19"/>
  <c r="S24" i="19"/>
  <c r="S25" i="19" s="1"/>
  <c r="X24" i="19"/>
  <c r="X25" i="19" s="1"/>
  <c r="G24" i="19"/>
  <c r="G25" i="19" s="1"/>
  <c r="K24" i="19"/>
  <c r="K25" i="19" s="1"/>
  <c r="P24" i="19"/>
  <c r="P25" i="19" s="1"/>
  <c r="V24" i="19"/>
  <c r="V25" i="19" s="1"/>
  <c r="Z24" i="19"/>
  <c r="Z25" i="19" s="1"/>
  <c r="H24" i="19"/>
  <c r="N24" i="19"/>
  <c r="R24" i="19"/>
  <c r="R25" i="19" s="1"/>
  <c r="F24" i="19"/>
  <c r="F25" i="19" s="1"/>
  <c r="U24" i="19"/>
  <c r="U25" i="19" s="1"/>
  <c r="J24" i="19"/>
  <c r="M24" i="19"/>
  <c r="M25" i="19" s="1"/>
  <c r="L24" i="19"/>
  <c r="Y24" i="19"/>
  <c r="Y25" i="19" s="1"/>
  <c r="T24" i="19"/>
  <c r="O24" i="19"/>
  <c r="O25" i="19" s="1"/>
  <c r="Q24" i="19"/>
  <c r="Q25" i="19" s="1"/>
  <c r="W24" i="19"/>
  <c r="W25" i="19" s="1"/>
  <c r="I24" i="19"/>
  <c r="I25" i="19" s="1"/>
  <c r="W8" i="19"/>
  <c r="O8" i="19"/>
  <c r="G8" i="19"/>
  <c r="V8" i="19"/>
  <c r="N8" i="19"/>
  <c r="U8" i="19"/>
  <c r="T8" i="19"/>
  <c r="R8" i="19"/>
  <c r="Y8" i="19"/>
  <c r="I8" i="19"/>
  <c r="S8" i="19"/>
  <c r="K8" i="19"/>
  <c r="J8" i="19"/>
  <c r="Q8" i="19"/>
  <c r="M8" i="19"/>
  <c r="X8" i="19"/>
  <c r="P8" i="19"/>
  <c r="H8" i="19"/>
  <c r="T25" i="19" l="1"/>
  <c r="T26" i="19" s="1"/>
  <c r="H25" i="19"/>
  <c r="H26" i="19" s="1"/>
  <c r="N25" i="19"/>
  <c r="N26" i="19" s="1"/>
  <c r="L25" i="19"/>
  <c r="L26" i="19" s="1"/>
  <c r="J25" i="19"/>
  <c r="J26" i="19" s="1"/>
  <c r="P26" i="19"/>
  <c r="S26" i="19"/>
  <c r="I26" i="19"/>
  <c r="Z26" i="19"/>
  <c r="Q26" i="19"/>
  <c r="K26" i="19"/>
  <c r="M26" i="19"/>
  <c r="W26" i="19"/>
  <c r="U26" i="19"/>
  <c r="R26" i="19"/>
  <c r="X26" i="19"/>
  <c r="Y26" i="19"/>
  <c r="O26" i="19"/>
  <c r="F26" i="19"/>
  <c r="G26" i="19"/>
  <c r="V26" i="19"/>
  <c r="T20" i="18" l="1"/>
  <c r="AB17" i="19" s="1"/>
  <c r="AB19" i="19" s="1"/>
  <c r="AB21" i="19" s="1"/>
  <c r="K8" i="14"/>
  <c r="K11" i="14"/>
  <c r="K9" i="14"/>
  <c r="O9" i="14" s="1"/>
  <c r="AB18" i="19" l="1"/>
  <c r="AB24" i="19" s="1"/>
  <c r="T24" i="18" s="1"/>
  <c r="L9" i="19"/>
  <c r="L10" i="19" s="1"/>
  <c r="L11" i="19" s="1"/>
  <c r="P12" i="19"/>
  <c r="P13" i="19" s="1"/>
  <c r="L12" i="19"/>
  <c r="L13" i="19" s="1"/>
  <c r="K12" i="14"/>
  <c r="O12" i="14" s="1"/>
  <c r="K10" i="14"/>
  <c r="O10" i="14" s="1"/>
  <c r="O7" i="14"/>
  <c r="O8" i="14"/>
  <c r="F10" i="19"/>
  <c r="F12" i="19"/>
  <c r="F13" i="19" s="1"/>
  <c r="O12" i="19"/>
  <c r="O13" i="19" s="1"/>
  <c r="W12" i="19"/>
  <c r="W13" i="19" s="1"/>
  <c r="H9" i="19"/>
  <c r="H10" i="19" s="1"/>
  <c r="H11" i="19" s="1"/>
  <c r="P9" i="19"/>
  <c r="P10" i="19" s="1"/>
  <c r="P11" i="19" s="1"/>
  <c r="X9" i="19"/>
  <c r="X10" i="19" s="1"/>
  <c r="X11" i="19" s="1"/>
  <c r="Y9" i="19"/>
  <c r="Y10" i="19" s="1"/>
  <c r="Y11" i="19" s="1"/>
  <c r="J9" i="19"/>
  <c r="J10" i="19" s="1"/>
  <c r="J11" i="19" s="1"/>
  <c r="R12" i="19"/>
  <c r="R13" i="19" s="1"/>
  <c r="U9" i="19"/>
  <c r="U10" i="19" s="1"/>
  <c r="U11" i="19" s="1"/>
  <c r="N9" i="19"/>
  <c r="N10" i="19" s="1"/>
  <c r="N11" i="19" s="1"/>
  <c r="N12" i="19"/>
  <c r="N13" i="19" s="1"/>
  <c r="W9" i="19"/>
  <c r="W10" i="19" s="1"/>
  <c r="W11" i="19" s="1"/>
  <c r="H12" i="19"/>
  <c r="H13" i="19" s="1"/>
  <c r="X12" i="19"/>
  <c r="X13" i="19" s="1"/>
  <c r="I9" i="19"/>
  <c r="I10" i="19" s="1"/>
  <c r="I11" i="19" s="1"/>
  <c r="Q9" i="19"/>
  <c r="Q10" i="19" s="1"/>
  <c r="Q11" i="19" s="1"/>
  <c r="Z9" i="19"/>
  <c r="Z10" i="19" s="1"/>
  <c r="Z11" i="19" s="1"/>
  <c r="J12" i="19"/>
  <c r="J13" i="19" s="1"/>
  <c r="K9" i="19"/>
  <c r="K10" i="19" s="1"/>
  <c r="K11" i="19" s="1"/>
  <c r="G12" i="19"/>
  <c r="G13" i="19" s="1"/>
  <c r="U12" i="19"/>
  <c r="U13" i="19" s="1"/>
  <c r="V9" i="19"/>
  <c r="V10" i="19" s="1"/>
  <c r="V11" i="19" s="1"/>
  <c r="G9" i="19"/>
  <c r="G10" i="19" s="1"/>
  <c r="G11" i="19" s="1"/>
  <c r="I13" i="19"/>
  <c r="Q12" i="19"/>
  <c r="Q13" i="19" s="1"/>
  <c r="Y12" i="19"/>
  <c r="Y13" i="19" s="1"/>
  <c r="R9" i="19"/>
  <c r="R10" i="19" s="1"/>
  <c r="R11" i="19" s="1"/>
  <c r="Z12" i="19"/>
  <c r="Z13" i="19" s="1"/>
  <c r="S9" i="19"/>
  <c r="S10" i="19" s="1"/>
  <c r="S11" i="19" s="1"/>
  <c r="T12" i="19"/>
  <c r="T13" i="19" s="1"/>
  <c r="M9" i="19"/>
  <c r="M10" i="19" s="1"/>
  <c r="M11" i="19" s="1"/>
  <c r="K12" i="19"/>
  <c r="K13" i="19" s="1"/>
  <c r="S12" i="19"/>
  <c r="S13" i="19" s="1"/>
  <c r="T9" i="19"/>
  <c r="T10" i="19" s="1"/>
  <c r="T11" i="19" s="1"/>
  <c r="O9" i="19"/>
  <c r="O10" i="19" s="1"/>
  <c r="O11" i="19" s="1"/>
  <c r="M12" i="19"/>
  <c r="M13" i="19" s="1"/>
  <c r="V12" i="19"/>
  <c r="V13" i="19" s="1"/>
  <c r="AB20" i="19" l="1"/>
  <c r="AB22" i="19" s="1"/>
  <c r="AB23" i="19" s="1"/>
  <c r="T21" i="18" s="1"/>
  <c r="F11" i="19"/>
  <c r="F14" i="19" s="1"/>
  <c r="K14" i="14"/>
  <c r="Z14" i="19"/>
  <c r="H14" i="19"/>
  <c r="X14" i="19"/>
  <c r="R14" i="19"/>
  <c r="P14" i="19"/>
  <c r="T14" i="19"/>
  <c r="U14" i="19"/>
  <c r="N14" i="19"/>
  <c r="J14" i="19"/>
  <c r="K14" i="19"/>
  <c r="G14" i="19"/>
  <c r="Y14" i="19"/>
  <c r="I14" i="19"/>
  <c r="M14" i="19"/>
  <c r="S14" i="19"/>
  <c r="Q14" i="19"/>
  <c r="V14" i="19"/>
  <c r="W14" i="19"/>
  <c r="L14" i="19"/>
  <c r="O14" i="19"/>
  <c r="AB25" i="19" l="1"/>
  <c r="AB26" i="19" s="1"/>
  <c r="T15" i="18"/>
  <c r="AB5" i="19" s="1"/>
  <c r="AB6" i="19" s="1"/>
  <c r="AB12" i="19" s="1"/>
  <c r="T18" i="18" s="1"/>
  <c r="G5" i="18" l="1"/>
  <c r="M14" i="14"/>
  <c r="AB7" i="19" l="1"/>
  <c r="AB9" i="19" s="1"/>
  <c r="O11" i="14"/>
  <c r="P74" i="7"/>
  <c r="AB13" i="19" l="1"/>
  <c r="AB8" i="19"/>
  <c r="AB10" i="19" s="1"/>
  <c r="AB11" i="19" s="1"/>
  <c r="T16" i="18" s="1"/>
  <c r="O14" i="14"/>
  <c r="AB14" i="19" l="1"/>
  <c r="K43" i="6" l="1"/>
  <c r="P87" i="30" l="1"/>
  <c r="K55" i="30"/>
  <c r="K74" i="30"/>
  <c r="K59" i="30"/>
  <c r="K57" i="30"/>
  <c r="K56" i="30"/>
  <c r="K58" i="30"/>
  <c r="K54" i="30"/>
  <c r="K10" i="7"/>
  <c r="K55" i="7" s="1"/>
  <c r="D47" i="6"/>
  <c r="O86" i="28"/>
  <c r="K73" i="28"/>
  <c r="K57" i="28"/>
  <c r="K53" i="28"/>
  <c r="K56" i="28"/>
  <c r="K58" i="28"/>
  <c r="K58" i="7" l="1"/>
  <c r="K54" i="7"/>
  <c r="K59" i="7"/>
  <c r="K57" i="7"/>
  <c r="K56" i="7"/>
  <c r="K74" i="7"/>
  <c r="P87" i="7"/>
</calcChain>
</file>

<file path=xl/sharedStrings.xml><?xml version="1.0" encoding="utf-8"?>
<sst xmlns="http://schemas.openxmlformats.org/spreadsheetml/2006/main" count="2101" uniqueCount="621">
  <si>
    <t>Calculate the additional population</t>
  </si>
  <si>
    <t>Total population increase generated by the development</t>
  </si>
  <si>
    <t>Value</t>
  </si>
  <si>
    <t>Unit</t>
  </si>
  <si>
    <t>Persons</t>
  </si>
  <si>
    <t>1.</t>
  </si>
  <si>
    <t>dwellings</t>
  </si>
  <si>
    <t>persons/dwelling</t>
  </si>
  <si>
    <t>2.</t>
  </si>
  <si>
    <t>Water use per person</t>
  </si>
  <si>
    <t>Litres/day</t>
  </si>
  <si>
    <t>Wastewater volume generated by the development</t>
  </si>
  <si>
    <t>3.</t>
  </si>
  <si>
    <t>Yes</t>
  </si>
  <si>
    <t>4.</t>
  </si>
  <si>
    <t>Kg/year</t>
  </si>
  <si>
    <t>Stage 2</t>
  </si>
  <si>
    <t>Hectares</t>
  </si>
  <si>
    <t>Identify current land uses of the development site</t>
  </si>
  <si>
    <t>TP load from current land usage</t>
  </si>
  <si>
    <t>Sum total of land uses</t>
  </si>
  <si>
    <t>Allotments and city farms</t>
  </si>
  <si>
    <t>Horticulture</t>
  </si>
  <si>
    <t>Dairy</t>
  </si>
  <si>
    <t>Units</t>
  </si>
  <si>
    <t>Identify proposed land uses of the development site</t>
  </si>
  <si>
    <t>TP load from proposed land usage</t>
  </si>
  <si>
    <t>5.</t>
  </si>
  <si>
    <t>Development will be Phosphorous neutral - no mitigation will be required</t>
  </si>
  <si>
    <t>Stage 3</t>
  </si>
  <si>
    <t>Stage 4</t>
  </si>
  <si>
    <t>Identify proposed land uses for mitigation</t>
  </si>
  <si>
    <t>Constructed wetland</t>
  </si>
  <si>
    <t>Nature reserve</t>
  </si>
  <si>
    <t>Woodland</t>
  </si>
  <si>
    <t>kg/year</t>
  </si>
  <si>
    <t>Stage 5</t>
  </si>
  <si>
    <t>Planning Application Reference No.</t>
  </si>
  <si>
    <t xml:space="preserve">Date: </t>
  </si>
  <si>
    <t>Additional information:</t>
  </si>
  <si>
    <t>Site address:</t>
  </si>
  <si>
    <t>Site proposal:</t>
  </si>
  <si>
    <t>Introduction</t>
  </si>
  <si>
    <t>Stage 1</t>
  </si>
  <si>
    <t>General help</t>
  </si>
  <si>
    <t>About</t>
  </si>
  <si>
    <t>Leaching rate (kg / ha / yr)</t>
  </si>
  <si>
    <t>Land Use classification</t>
  </si>
  <si>
    <t>Iterative 'Zero' value calculator</t>
  </si>
  <si>
    <t>Difference</t>
  </si>
  <si>
    <t>WwTW</t>
  </si>
  <si>
    <t>Total</t>
  </si>
  <si>
    <t>Number of units proposed</t>
  </si>
  <si>
    <t>Total Development area</t>
  </si>
  <si>
    <t>Zero value</t>
  </si>
  <si>
    <t>%</t>
  </si>
  <si>
    <t>Number of dwellings</t>
  </si>
  <si>
    <t>Summary of proposed development</t>
  </si>
  <si>
    <t>2a.</t>
  </si>
  <si>
    <t>2b.</t>
  </si>
  <si>
    <t>Litres/person/day</t>
  </si>
  <si>
    <t>hectares</t>
  </si>
  <si>
    <t>No</t>
  </si>
  <si>
    <t>2025 Value known?</t>
  </si>
  <si>
    <t>Sum total area needed to be created</t>
  </si>
  <si>
    <t>Identify current land use of mitigation area</t>
  </si>
  <si>
    <t>Stage 6</t>
  </si>
  <si>
    <t>Buffer amount</t>
  </si>
  <si>
    <t>Note: Where development sites include existing areas that are to be retained, these areas can be excluded from the calculations in both Stages 2 and 3.</t>
  </si>
  <si>
    <t>Stage 7</t>
  </si>
  <si>
    <t>Development will generate additional Phosphorous (Mitigation required) - Please progress to Stage 5</t>
  </si>
  <si>
    <t>Development will generate additional Phosphorous (Mitigation required) - Please progress to Stage 6</t>
  </si>
  <si>
    <t xml:space="preserve">The Tool uses the following colour coding to indicate the functionality to the user. These colours are: </t>
  </si>
  <si>
    <t>The user needs to input a value here</t>
  </si>
  <si>
    <t>This contains fixed or calculated values and the user does not need to input a value</t>
  </si>
  <si>
    <t>Meadow / semi natural grassland</t>
  </si>
  <si>
    <t>Wetland</t>
  </si>
  <si>
    <t>Land Use</t>
  </si>
  <si>
    <t>Free draining</t>
  </si>
  <si>
    <t>Pig Farming</t>
  </si>
  <si>
    <t xml:space="preserve"> </t>
  </si>
  <si>
    <t>Kg/ha/year</t>
  </si>
  <si>
    <t>On-site mitigation</t>
  </si>
  <si>
    <t>Off-site mitigation</t>
  </si>
  <si>
    <t>Specific land use of on-site mitigation area</t>
  </si>
  <si>
    <t>Average land use of the on-site mitigation area</t>
  </si>
  <si>
    <t>Specific land use of off-site mitigation area</t>
  </si>
  <si>
    <t>Identify current land use of off-site mitigation area</t>
  </si>
  <si>
    <t>Note: If the mitigation is to be implemented off-site then the user should select "Yes" in the list above. If on-site mitigation is to be implemented instead, then the user should select "No" above.</t>
  </si>
  <si>
    <t>On-site mitigation land runoff coefficient</t>
  </si>
  <si>
    <t>Off-site mitigation land runoff coefficient</t>
  </si>
  <si>
    <t xml:space="preserve">Note: If the mitigation is to be implemented on-site then the user should select "Yes" in the list above. If off-site mitigation is to be implemented instead, then the user should select "No" above. </t>
  </si>
  <si>
    <t>mitigation land runoff coefficient</t>
  </si>
  <si>
    <t>General Arable</t>
  </si>
  <si>
    <t>Colour</t>
  </si>
  <si>
    <t>ID</t>
  </si>
  <si>
    <t>Name</t>
  </si>
  <si>
    <t>Saltmarsh soils</t>
  </si>
  <si>
    <t>Shallow very acid peaty soils over rock</t>
  </si>
  <si>
    <t xml:space="preserve">	Shallow lime-rich soils over chalk or limestone</t>
  </si>
  <si>
    <t>Sand dune soils</t>
  </si>
  <si>
    <t xml:space="preserve">	Freely draining lime-rich loamy soils</t>
  </si>
  <si>
    <t>Freely draining slightly acid loamy soils</t>
  </si>
  <si>
    <t>Freely draining slightly acid but base-rich soils</t>
  </si>
  <si>
    <t>Slightly acid loamy and clayey soils with impeded drainage</t>
  </si>
  <si>
    <t>Lime-rich loamy and clayey soils with impeded drainage</t>
  </si>
  <si>
    <t>Freely draining slightly acid sandy soils</t>
  </si>
  <si>
    <t xml:space="preserve">	Freely draining sandy Breckland soils</t>
  </si>
  <si>
    <t>Freely draining floodplain soils</t>
  </si>
  <si>
    <t>Freely draining acid loamy soils over rock</t>
  </si>
  <si>
    <t>Freely draining very acid sandy and loamy soils</t>
  </si>
  <si>
    <t>Naturally wet very acid sandy and loamy soils</t>
  </si>
  <si>
    <t xml:space="preserve">	Very acid loamy upland soils with a wet peaty surface</t>
  </si>
  <si>
    <t>Slowly permeable seasonally wet acid loamy and clayey soils</t>
  </si>
  <si>
    <t>Slowly permeable seasonally wet slightly acid but base-rich loamy and clayey soils</t>
  </si>
  <si>
    <t>Slowly permeable wet very acid upland soils with a peaty surface</t>
  </si>
  <si>
    <t>Loamy and clayey floodplain soils with naturally high groundwater</t>
  </si>
  <si>
    <t>Loamy and clayey soils of coastal flats with naturally high groundwater</t>
  </si>
  <si>
    <t>Loamy soils with naturally high groundwater</t>
  </si>
  <si>
    <t>Loamy and sandy soils with naturally high groundwater and a peaty surface</t>
  </si>
  <si>
    <t xml:space="preserve">	Restored soils mostly from quarry and opencast spoil</t>
  </si>
  <si>
    <t>Blanket bog peat soils</t>
  </si>
  <si>
    <t>Raised bog peat soils</t>
  </si>
  <si>
    <t xml:space="preserve">	Fen peat soils</t>
  </si>
  <si>
    <t>Land Use Definitions</t>
  </si>
  <si>
    <t>Soil Drainage Criteria</t>
  </si>
  <si>
    <t>Description</t>
  </si>
  <si>
    <t>Poultry farming</t>
  </si>
  <si>
    <t xml:space="preserve">Holdings on which dairy cows account for more than two thirds of their total standard output.  </t>
  </si>
  <si>
    <t xml:space="preserve">Holdings on which pigs account for more than two thirds of their total standard output. </t>
  </si>
  <si>
    <t xml:space="preserve">Holdings on which poultry account for more than two thirds of their total standard output. </t>
  </si>
  <si>
    <t>The tool has been designed so that the user is able to update the data and methods in light of any new research or understanding</t>
  </si>
  <si>
    <t>Open Space / Greenfield</t>
  </si>
  <si>
    <t>Mixed Livestock</t>
  </si>
  <si>
    <t>The land uses presented in this tool followed the CORINE 2018 land use data. Definitions of key land uses are presented below:</t>
  </si>
  <si>
    <t xml:space="preserve">The information supplied in this tool is for guidance purposes only and is not intended to provide an exact budget calculation due to the limitations and assumptions of the model. The user is responsible for ensuring the accuracy and completeness of all data entered, be it manually or automatically, and used by this tool. The user is also responsible for any commercial decisions taken on any of the outputs of this tool.  </t>
  </si>
  <si>
    <t>Royal HaskoningDHV will not be liable for any of the following arising from the use of this tool (including from any negligence on the part of Royal HaskoningDHV):
(i) loss of anticipated profits or expected future business;
(ii) damage to reputation or goodwill;
(iii) damages, costs or expenses payable by the user to any third party;
(iv) loss of any order or contract; or
(v) indirect or consequential loss of any kind.</t>
  </si>
  <si>
    <t>Identify current land use on-site mitigation area</t>
  </si>
  <si>
    <t>The following table is used to identify the dominant drainage type of the proposed development from the soil type identified above. The drainage type should then inform Stage 2 of the calculator</t>
  </si>
  <si>
    <t>Average occupancy</t>
  </si>
  <si>
    <t>% fallowed</t>
  </si>
  <si>
    <t>Proposed multiplier</t>
  </si>
  <si>
    <t>Proposed land use (kg/yr)</t>
  </si>
  <si>
    <t>Sum land use</t>
  </si>
  <si>
    <t>Net change land use</t>
  </si>
  <si>
    <t>Dwellings/ha</t>
  </si>
  <si>
    <t>No. of dwellings</t>
  </si>
  <si>
    <t>Summary</t>
  </si>
  <si>
    <t xml:space="preserve">TP current land use </t>
  </si>
  <si>
    <t>TP proposed land use</t>
  </si>
  <si>
    <t>Meadow/semi-natural grassland</t>
  </si>
  <si>
    <t>Set aside multiplier</t>
  </si>
  <si>
    <t>Set aside land use (kg/yr)</t>
  </si>
  <si>
    <t>Set aside Land</t>
  </si>
  <si>
    <t>Woodland (e.g. conifer, mixed, broad-leaved)</t>
  </si>
  <si>
    <t>{"BrowserAndLocation":{"ConversionPath":"C:\\Users\\305327\\Documents\\SpreadsheetConverter","SelectedBrowsers":[]},"SpreadsheetServer":{"Username":"","Password":"","ServerUrl":"","TestUsername":"","TestPassword":""},"ConfigureSubmitDefault":{"Email":"oliver.bowers@rhdhv.com","Free":false,"Advanced":true,"AdvancedSecured":false,"Demo":false},"MessageBubble":{"Close":false,"TopMsg":0},"CustomizeTheme":{"Theme":"C:\\Users\\user\\AppData\\Roaming\\SpreadsheetConverter\\V8\\SupportFiles\\themes\\bootstrap\\css\\default-ssc-theme.css"},"QrSetting":{"ShowOnConversion":true},"CongratsPage":{"LastOpenedVersion":""},"WordPressPluginSetting":{"IsPluginInstalled":false},"Preferences":{"IsAdvancedSettingModelInitialize":true,"IsCaptchaInitialize":true,"IsNodeSettingInitialize":false,"IsRequiredFieldModalInitialize":true,"IsSubmitDialogModelInitialize":true,"IsToolbarButtonModelInitialize":true,"IsWizardButtonModelInitialize":true,"ReadFromHidden":false,"AdvancedSetting":null,"NodeSetting":{"LoginText":{"LoginButtonText":"Login","PageDescription":"Restricted access only","LoginErrorMessage":"Authentication failed, please check your username and password.","PlaceholderPassword":"password","PlaceholderUsername":"username / email","UserExtraMessage":""}},"Captcha":{"Heading":"Enter the number displayed below.","Message":"This is to verify that you are a human visitor, to prevent automated form submissions.","OkButton":"OK","CancelButton":"Cancel","ErrorMessage":"Your answer is incorrect, please try again."},"RequiredField":{"ErrorMessage":"The fields with the red border are required or invalid.","OkButton":"OK","DDLDefaultRequiredText":"Please Select"},"WizardButton":{"Next":"Next","Previous":"Previous","Cancel":"Cancel","Finish":"Finish"},"ToolbarButton":{"Submit":"Submit","PrintSheet":"Print","PrintAll":"Print All","Reset":"Reset","Update":"Update","Back":"Back","PrintThis":"Print This"},"SubmitDialog":{"SubmitDialogHeading":"Submit Successful.","SubmitDialogDesc":"The form was successfully submitted.","BeforeSubmitDesc":"The form is being submitted.","OfflineHeading":"Save until online","OfflineDesc":"You are currently offline and the submit failed. Do you want to save the submit and send it later when you are online.","OfflineConfirm":"Do you want to save?","OfflineSubmitHeading":"Offline forms submit confirmation","OfflineSubmitDesc":"There are Offline form(s), which are now ready to submit in server.","OfflineSubmitConfirm":"Do you want to submit?","FailOfflineHeading":"Offline Form submit failed","FailOfflineDesc":"Unable to connect to the Internet. Please try submitting the offline forms later in internet connection.","OfflineSubmitWait":"It may take sometime to finish all submits depending on the size of offline forms and internet connection.","OfflineSubmitWaitCounter":"Left","OfflineSubmitError":"Submit error: Please try later."}},"UxPreferences":null}</t>
  </si>
  <si>
    <t>_Ctrl_1</t>
  </si>
  <si>
    <t>{"WidgetClassification":3,"State":1,"HyperlinkFlavor":0,"Placement":0,"LinkTarget":0,"CellName":"_Ctrl_1","CellAddress":"='Help'!$C$83","WidgetName":8,"HiddenRow":1,"SheetCodeName":null,"ControlId":"","wcb":0}</t>
  </si>
  <si>
    <t>_Ctrl_2</t>
  </si>
  <si>
    <t>{"WidgetClassification":3,"State":1,"HyperlinkFlavor":0,"Placement":0,"LinkTarget":0,"CellName":"_Ctrl_2","CellAddress":"='Help'!$C$84","WidgetName":8,"HiddenRow":2,"SheetCodeName":null,"ControlId":"","wcb":0}</t>
  </si>
  <si>
    <t>_Ctrl_3</t>
  </si>
  <si>
    <t>{"WidgetClassification":3,"State":1,"HyperlinkFlavor":0,"Placement":0,"LinkTarget":0,"CellName":"_Ctrl_3","CellAddress":"='Help'!$C$86","WidgetName":8,"HiddenRow":3,"SheetCodeName":null,"ControlId":"","wcb":0}</t>
  </si>
  <si>
    <t>_Ctrl_4</t>
  </si>
  <si>
    <t>{"WidgetClassification":3,"State":1,"HyperlinkFlavor":0,"Placement":0,"LinkTarget":0,"CellName":"_Ctrl_4","CellAddress":"='Help'!$C$36","WidgetName":8,"HiddenRow":4,"SheetCodeName":null,"ControlId":"","wcb":0}</t>
  </si>
  <si>
    <t>_Ctrl_5</t>
  </si>
  <si>
    <t>{"WidgetClassification":0,"State":1,"IsRequired":false,"IsMultiline":true,"IsHidden":false,"Placeholder":"","InputType":0,"Rows":3,"IsMergeJustify":false,"CellName":"_Ctrl_5","CellAddress":"='Info'!$C$13","WidgetName":4,"HiddenRow":5,"SheetCodeName":null,"ControlId":"","wcb":0}</t>
  </si>
  <si>
    <t>_Ctrl_6</t>
  </si>
  <si>
    <t>{"WidgetClassification":0,"State":1,"IsRequired":false,"IsMultiline":true,"IsHidden":false,"Placeholder":"","InputType":0,"Rows":3,"IsMergeJustify":false,"CellName":"_Ctrl_6","CellAddress":"='Info'!$E$8","WidgetName":4,"HiddenRow":6,"SheetCodeName":null,"ControlId":"","wcb":0}</t>
  </si>
  <si>
    <t>_Ctrl_7</t>
  </si>
  <si>
    <t>{"WidgetClassification":0,"State":1,"IsRequired":false,"IsMultiline":true,"IsHidden":false,"Placeholder":"","InputType":0,"Rows":3,"IsMergeJustify":false,"CellName":"_Ctrl_7","CellAddress":"='Info'!$E$6","WidgetName":4,"HiddenRow":7,"SheetCodeName":null,"ControlId":"","wcb":0}</t>
  </si>
  <si>
    <t>_Ctrl_8</t>
  </si>
  <si>
    <t>_Ctrl_9</t>
  </si>
  <si>
    <t>_Ctrl_10</t>
  </si>
  <si>
    <t>_Ctrl_11</t>
  </si>
  <si>
    <t>_Ctrl_12</t>
  </si>
  <si>
    <t>_Ctrl_13</t>
  </si>
  <si>
    <t>_Ctrl_14</t>
  </si>
  <si>
    <t>_Ctrl_15</t>
  </si>
  <si>
    <t>_Ctrl_16</t>
  </si>
  <si>
    <t>_Ctrl_17</t>
  </si>
  <si>
    <t>_Ctrl_18</t>
  </si>
  <si>
    <t>_Ctrl_19</t>
  </si>
  <si>
    <t>_Ctrl_20</t>
  </si>
  <si>
    <t>_Ctrl_21</t>
  </si>
  <si>
    <t>_Ctrl_22</t>
  </si>
  <si>
    <t>_Ctrl_23</t>
  </si>
  <si>
    <t>_Ctrl_24</t>
  </si>
  <si>
    <t>_Ctrl_25</t>
  </si>
  <si>
    <t>_Ctrl_26</t>
  </si>
  <si>
    <t>_Ctrl_27</t>
  </si>
  <si>
    <t>_Ctrl_28</t>
  </si>
  <si>
    <t>_Ctrl_29</t>
  </si>
  <si>
    <t>_Ctrl_30</t>
  </si>
  <si>
    <t>_Ctrl_31</t>
  </si>
  <si>
    <t>_Ctrl_32</t>
  </si>
  <si>
    <t>_Ctrl_33</t>
  </si>
  <si>
    <t>_Ctrl_34</t>
  </si>
  <si>
    <t>_Ctrl_35</t>
  </si>
  <si>
    <t>_Ctrl_36</t>
  </si>
  <si>
    <t>_Ctrl_37</t>
  </si>
  <si>
    <t>_Ctrl_38</t>
  </si>
  <si>
    <t>_Ctrl_39</t>
  </si>
  <si>
    <t>_Ctrl_40</t>
  </si>
  <si>
    <t>_Ctrl_41</t>
  </si>
  <si>
    <t>_Ctrl_42</t>
  </si>
  <si>
    <t>_Ctrl_43</t>
  </si>
  <si>
    <t>_Ctrl_44</t>
  </si>
  <si>
    <t>_Ctrl_45</t>
  </si>
  <si>
    <t>_Ctrl_46</t>
  </si>
  <si>
    <t>_Ctrl_47</t>
  </si>
  <si>
    <t>_Ctrl_48</t>
  </si>
  <si>
    <t>_Ctrl_49</t>
  </si>
  <si>
    <t>_Ctrl_50</t>
  </si>
  <si>
    <t>_Ctrl_51</t>
  </si>
  <si>
    <t>_Ctrl_52</t>
  </si>
  <si>
    <t>_Ctrl_53</t>
  </si>
  <si>
    <t>_Ctrl_54</t>
  </si>
  <si>
    <t>_Ctrl_55</t>
  </si>
  <si>
    <t>_Ctrl_56</t>
  </si>
  <si>
    <t>_Ctrl_57</t>
  </si>
  <si>
    <t>_Ctrl_58</t>
  </si>
  <si>
    <t>_Ctrl_59</t>
  </si>
  <si>
    <t>_Ctrl_60</t>
  </si>
  <si>
    <t>_Ctrl_61</t>
  </si>
  <si>
    <t>_Ctrl_62</t>
  </si>
  <si>
    <t>_ram_63</t>
  </si>
  <si>
    <t>{"WidgetClassification":4,"State":1,"ShowHideWidgetName":"Show-Hide 1","ClassName":"_css7b3c","ShowHideType":1,"RowRange":"","RowRangeName":"_dep_ram_63","ControllingCell":"","ControllingCellName":"_ctrl_ram_63","StartRow":null,"EndRow":null,"SheetName":"","SheetId":0,"SheetIdCollection":[],"CellName":"_ram_63","CellAddress":"='Stage 4 (2)'!$K$14","WidgetName":21,"HiddenRow":63,"SheetCodeName":null,"ControlId":"","wcb":0}</t>
  </si>
  <si>
    <t>_Ctrl_64</t>
  </si>
  <si>
    <t>_Ctrl_65</t>
  </si>
  <si>
    <t>{"WidgetClassification":3,"State":1,"TelNo":"","CallusFlavor":1,"CellName":"_Ctrl_65","CellAddress":"='Zero value Calc'!$AU$15","WidgetName":10,"HiddenRow":65,"SheetCodeName":null,"ControlId":"","wcb":0}</t>
  </si>
  <si>
    <t>Weeks</t>
  </si>
  <si>
    <t>Number of rooms in a hotel or guest house proposed</t>
  </si>
  <si>
    <t>Number of weeks open per year (1-52)</t>
  </si>
  <si>
    <t>Average occupancy rate (1-100)</t>
  </si>
  <si>
    <t>shrub / heathland / bracken / bog</t>
  </si>
  <si>
    <t>Shrub / heathland / bracken / bog</t>
  </si>
  <si>
    <t>Banking coefficient</t>
  </si>
  <si>
    <t>Designed Wetlands / SuDS</t>
  </si>
  <si>
    <t>Wetland / SuDS area</t>
  </si>
  <si>
    <t>Allotment and City farms</t>
  </si>
  <si>
    <t xml:space="preserve">Wholly or mainly cultivated for the production of vegetable or fruit crops for consumption by the tenant or local community. In some cases the land will also be used for ornamental plants and the keeping of hens or bees.  </t>
  </si>
  <si>
    <t>Land use specific to constructed wetland only and does not include ponds or SuDS.</t>
  </si>
  <si>
    <t>Holdings on which cattle, sheep and other grazing livestock account for more than two thirds of their total standard output except holdings classified as diary. A holding is classified as lowland if less than 50% of its total area is in the Less Favoured Area (LFA). A paddock is classified as a small enclosures used for grazing horses.</t>
  </si>
  <si>
    <t>A meadow is a field habitat vegetated by grass and other non-woody plant that has an open character and is not grazed by livestock</t>
  </si>
  <si>
    <t>Tree-covered areas which either arose naturally or as a result of plantations. This includes conifer woodland, mixed woodlands and broad-leaved woodlands etc.</t>
  </si>
  <si>
    <t>Heathland / Bog</t>
  </si>
  <si>
    <t>Please select the Development type</t>
  </si>
  <si>
    <t>House</t>
  </si>
  <si>
    <t>Designed Wetland banking coefficient</t>
  </si>
  <si>
    <t>Note: This section should include all land uses within the proposed development. Where the proposed scheme is to create new wetlands, woodlands, nature reserves, etc. within the development site area, then this should be included within this section. Any offsite mitigation should not be included below, and should instead be inputted in Stage 5 (if mitigation is required).</t>
  </si>
  <si>
    <t>Development will be Phosphate neutral - no mitigation will be required</t>
  </si>
  <si>
    <t>Lowland grazing</t>
  </si>
  <si>
    <t>Poultry</t>
  </si>
  <si>
    <t>Impermeable (Drained for Arable)</t>
  </si>
  <si>
    <t>Impermeable (Drained for Arable + Grassland)</t>
  </si>
  <si>
    <t>Total Phosphorus budget for the site</t>
  </si>
  <si>
    <t>{"IsHide":false,"HiddenInExcel":false,"SheetId":-1,"Name":"Info","Guid":"MWW6DG","Index":3,"VisibleRange":"","SheetTheme":{"TabColor":"","BodyColor":"","BodyImage":""},"IsPrintSheet":false}</t>
  </si>
  <si>
    <t>{"IsHide":false,"HiddenInExcel":false,"SheetId":-1,"Name":"Stage 1","Guid":"2IH9DR","Index":4,"VisibleRange":"","SheetTheme":{"TabColor":"","BodyColor":"","BodyImage":""},"IsPrintSheet":false}</t>
  </si>
  <si>
    <t>{"IsHide":false,"HiddenInExcel":false,"SheetId":-1,"Name":"Stage 2","Guid":"PBBYLW","Index":5,"VisibleRange":"","SheetTheme":{"TabColor":"","BodyColor":"","BodyImage":""},"IsPrintSheet":false}</t>
  </si>
  <si>
    <t>{"IsHide":false,"HiddenInExcel":false,"SheetId":-1,"Name":"Stage 3","Guid":"OBSXTD","Index":6,"VisibleRange":"","SheetTheme":{"TabColor":"","BodyColor":"","BodyImage":""},"IsPrintSheet":false}</t>
  </si>
  <si>
    <t>{"IsHide":false,"HiddenInExcel":false,"SheetId":-1,"Name":"Stage 4","Guid":"LE582F","Index":7,"VisibleRange":"","SheetTheme":{"TabColor":"","BodyColor":"","BodyImage":""},"IsPrintSheet":false}</t>
  </si>
  <si>
    <t>{"IsHide":true,"HiddenInExcel":false,"SheetId":-1,"Name":"Zero value Calc","Guid":"2I8WXQ","Index":8,"VisibleRange":"","SheetTheme":{"TabColor":"","BodyColor":"","BodyImage":""},"IsPrintSheet":false}</t>
  </si>
  <si>
    <t>{"IsHide":true,"HiddenInExcel":false,"SheetId":-1,"Name":"Graph Calculations","Guid":"L2SEMM","Index":9,"VisibleRange":"","SheetTheme":{"TabColor":"","BodyColor":"","BodyImage":""},"IsPrintSheet":false}</t>
  </si>
  <si>
    <t>{"IsHide":false,"HiddenInExcel":false,"SheetId":-1,"Name":"Stage 5","Guid":"HSZ08X","Index":10,"VisibleRange":"","SheetTheme":{"TabColor":"","BodyColor":"","BodyImage":""},"IsPrintSheet":false}</t>
  </si>
  <si>
    <t>{"IsHide":false,"HiddenInExcel":false,"SheetId":-1,"Name":"Stage 7","Guid":"KT56TH","Index":12,"VisibleRange":"","SheetTheme":{"TabColor":"","BodyColor":"","BodyImage":""},"IsPrintSheet":false}</t>
  </si>
  <si>
    <t>{"IsHide":true,"HiddenInExcel":false,"SheetId":-1,"Name":"Data Tables","Guid":"DHW3E9","Index":13,"VisibleRange":"","SheetTheme":{"TabColor":"","BodyColor":"","BodyImage":""},"IsPrintSheet":false}</t>
  </si>
  <si>
    <t>{"InputDetection":2,"RecalcMode":0,"Layout":0,"LayoutSamePagesHeightEnabled":false,"Theme":{"BgColor":"#FFFFFFFF","BgImage":"","InputBorderStyle":0,"AppliedTheme":""},"SmartphoneSettings":{"ViewportLock":true,"UseOldViewEngine":false,"EnableZoom":false,"EnableSwipe":false,"HideToolbar":false,"InheritBackgroundColor":false,"CheckboxFlavor":1,"ShowBubble":false},"Name":"Phosphate Budget Calculator","Flavor":0,"Edition":3,"CopyProtect":{"IsEnabled":false,"DomainName":""},"HideSscPoweredlogo":false,"AspnetConfig":{"BrowseUrl":"http://localhost/ssc","FileExtension":0},"NodeSecureLoginEnabled":false,"SmartphoneTheme":1,"Toolbar":{"Position":1,"IsSubmit":false,"IsPrintSheet":true,"IsPrintAll":true,"IsPrintThis":false,"IsReset":true,"IsUpdate":true},"ConfigureSubmit":{"IsShowCaptcha":false,"IsUseSscWebServer":true,"ReceiverCode":"oliver.bowers@rhdhv.com","IsFreeService":false,"IsAdvanceService":true,"IsSecureEmail":false,"IsDemonstrationService":false,"AfterSuccessfulSubmit":"","AfterFailSubmit":"","AfterCancelWizard":"","IsUseOwnWebServer":false,"OwnWebServerURL":"","OwnWebServerTarget":"","SubmitTarget":0},"IgnoreBgInputCell":false,"ButtonStyle":0,"ResponsiveDesignDisabled":false,"HideLookupRange":false,"BrowserStorageEnabled":false,"RealtimeSyncEnabled":false,"GoogleAnalyticsTrackingId":"","GoogleApiKey":"","ChartSelected":3,"ChartYAxisFixed":false}</t>
  </si>
  <si>
    <t xml:space="preserve">This tool is designed to quantify the nutrient loading of an area of land subject to a change of land use and population, in order to identify is proposed developments will be 'nutrient neutral'. Where the proposed development will generate additional nutrients into the system, solutions in how to offset the excess nutrients and achieve neutrality are presented.  </t>
  </si>
  <si>
    <t>The methodology employed within this tool was, in part, guided by Natural England's advice on nutrient neutrality in relation to the Stodmarsh designated sites (published in November 2020) and the Natural England provided calculator (published March 2022).</t>
  </si>
  <si>
    <t>This nutrient budget calculator is designed to allow the user to:
- Calculate the nutrient budget for a proposed development, and if, in its current form, the proposed development is nutrient neutral; and
- Assess the various mitigation options if the proposed development is not nutrient neutral.</t>
  </si>
  <si>
    <t>This nutrient budget calculator has been developed by Royal HaskoningDHV on behalf of the combined Norfolk Local Planning Authorities</t>
  </si>
  <si>
    <t>This stage calculates the nutrient load from the current land use.
Step 2: The user should input the proposed land uses that make up the total area of the development site. Any pre-determined on-site mitigation should also be inputted here.
Bespoke banking coefficients should be inputted for constructed wetland that can be evidenced</t>
  </si>
  <si>
    <t>Aldborough Water Recycling Centre</t>
  </si>
  <si>
    <t>Ashmanaugh</t>
  </si>
  <si>
    <t>Ashwellthorpe Water Recycling Centre</t>
  </si>
  <si>
    <t>Aylsham Water Recycling Centre</t>
  </si>
  <si>
    <t>Barford Water Recycling Centre</t>
  </si>
  <si>
    <t>Barnham Broom Water Recycling Centre</t>
  </si>
  <si>
    <t>Barton Turf</t>
  </si>
  <si>
    <t>Belaugh Water Recycling Centre</t>
  </si>
  <si>
    <t>Billingford STW</t>
  </si>
  <si>
    <t>Bircham Newton (Monks Close) WRC</t>
  </si>
  <si>
    <t>Brisley</t>
  </si>
  <si>
    <t>Briston Water Recycling Centre</t>
  </si>
  <si>
    <t>Bunwell STW</t>
  </si>
  <si>
    <t>Bylaugh Water Recycling Centre</t>
  </si>
  <si>
    <t>Carleton Rode Church Road</t>
  </si>
  <si>
    <t>Carleton Rode STW</t>
  </si>
  <si>
    <t>Coltishall STW</t>
  </si>
  <si>
    <t>Corpusty STW</t>
  </si>
  <si>
    <t>Cranworth STW</t>
  </si>
  <si>
    <t>Deopham STW</t>
  </si>
  <si>
    <t>Dereham WRC</t>
  </si>
  <si>
    <t>East Bilney STW</t>
  </si>
  <si>
    <t>East Carleton - Wymondham Road STW</t>
  </si>
  <si>
    <t>East Ruston STW</t>
  </si>
  <si>
    <t>Fakenham (Old And New) WRC</t>
  </si>
  <si>
    <t>Felmingham Water Recycling Centre</t>
  </si>
  <si>
    <t>Forncett End STW</t>
  </si>
  <si>
    <t>Forncett St. Peter STW</t>
  </si>
  <si>
    <t>Foulsham Water Recycling Centre</t>
  </si>
  <si>
    <t>Fritton School Lane STW</t>
  </si>
  <si>
    <t>Fundenhall STW</t>
  </si>
  <si>
    <t>Garvestone Reymerston Road STW</t>
  </si>
  <si>
    <t>Garvestone, Dereham Road</t>
  </si>
  <si>
    <t>Gateley STW</t>
  </si>
  <si>
    <t>Great Melton STW</t>
  </si>
  <si>
    <t>Gresham STW</t>
  </si>
  <si>
    <t>Hardwick STW</t>
  </si>
  <si>
    <t>Hempnall Water Recycling Centre</t>
  </si>
  <si>
    <t>Hempnell - Silver Green STW</t>
  </si>
  <si>
    <t>Hindolveston Church Lane</t>
  </si>
  <si>
    <t>Hindolveston STW</t>
  </si>
  <si>
    <t>Hockering STW</t>
  </si>
  <si>
    <t>Horningtoft</t>
  </si>
  <si>
    <t>Horsey - Bensleys Close STW</t>
  </si>
  <si>
    <t>Honing STW</t>
  </si>
  <si>
    <t>Little Fransham Crown Lane STW</t>
  </si>
  <si>
    <t>Little Fransham Glebe STW</t>
  </si>
  <si>
    <t>Long Stratton WRC</t>
  </si>
  <si>
    <t>Mattishall STW</t>
  </si>
  <si>
    <t>North Elmham STW</t>
  </si>
  <si>
    <t>North Tuddenham STW</t>
  </si>
  <si>
    <t>Rackheath Water Recycling Centre</t>
  </si>
  <si>
    <t>Reepham Water Recycling Centre</t>
  </si>
  <si>
    <t>Ridlington(Norfolk) STW</t>
  </si>
  <si>
    <t>Roughton Water Recycling Centre</t>
  </si>
  <si>
    <t>Saxlingham STW</t>
  </si>
  <si>
    <t>Spooner Row School Lane STW</t>
  </si>
  <si>
    <t>Sculthorpe STW</t>
  </si>
  <si>
    <t>Shipdham STW</t>
  </si>
  <si>
    <t>Shotesham The Grove STW</t>
  </si>
  <si>
    <t>Skeyton STW</t>
  </si>
  <si>
    <t>Sloley STW</t>
  </si>
  <si>
    <t>Smallburgh STW</t>
  </si>
  <si>
    <t>South Raynham</t>
  </si>
  <si>
    <t>Southrepps STW</t>
  </si>
  <si>
    <t>Sparham Norwich Road WRC</t>
  </si>
  <si>
    <t>Sparham(Wells Close)</t>
  </si>
  <si>
    <t>Stalham Water Recycling Centre</t>
  </si>
  <si>
    <t>Stanfield STW</t>
  </si>
  <si>
    <t>Stibbard Moor End STW</t>
  </si>
  <si>
    <t>Stoke Holy Cross STW</t>
  </si>
  <si>
    <t>Swanton Abbott STW</t>
  </si>
  <si>
    <t>Swanton Morley Water Recycling Centre</t>
  </si>
  <si>
    <t>Swanton Novers STW</t>
  </si>
  <si>
    <t>Swardeston STW</t>
  </si>
  <si>
    <t>Tibenham The Street STW</t>
  </si>
  <si>
    <t>Weasenham All Saints STW</t>
  </si>
  <si>
    <t>Weasenham St.Peter STW</t>
  </si>
  <si>
    <t>Wendling STW</t>
  </si>
  <si>
    <t>West Raynham STW</t>
  </si>
  <si>
    <t>Whinburgh</t>
  </si>
  <si>
    <t>Whitlingham Water Recycling Centre</t>
  </si>
  <si>
    <t>Wymondham Water Recycling Centre</t>
  </si>
  <si>
    <t>Impermeable - drained for arable &amp; grassland</t>
  </si>
  <si>
    <t>Impermeable - drained for arable</t>
  </si>
  <si>
    <t>colour</t>
  </si>
  <si>
    <t>Number of dwellings proposed</t>
  </si>
  <si>
    <t>Is sewage to be handled by Onsite treatment plants?</t>
  </si>
  <si>
    <t>Note: If the sewage is to be treated by on-site treatment plants then the user should select "Yes" in the list above. If wastewater treatment works are to be used instead, then the user should select "No" above. 
On-site treatment plants are pre-manufactured treatment facilities used to treat wastewater in smaller communities or on individual properties. This concept is defined as decentralized wastewater treatment. The nutrient influent is calculated by multiplying the number of people by the expected loading per person. The nutrient effluent is calculated by applying the reduction efficiency. The nutrient loading is expressed in kg/year.</t>
  </si>
  <si>
    <t>Wastewater volume generated</t>
  </si>
  <si>
    <t>Select the type of On-site treatment works</t>
  </si>
  <si>
    <t>mg/l</t>
  </si>
  <si>
    <t>TP budget for Onsite treatment plants</t>
  </si>
  <si>
    <t>Phosphorus discharge level</t>
  </si>
  <si>
    <t>Nitrogen discharge level</t>
  </si>
  <si>
    <t>Note: The user must input the reduction efficiency of the PTP. The efficiency of the PTP used must be evidenced. The evidence should include the test result documents from the lab (in English) and/ or measured effluent concentrations from real world applications. If the efficiency is unknown then a precautionary default value can be used</t>
  </si>
  <si>
    <t>Package treatment plant</t>
  </si>
  <si>
    <t>Default package treatment plant</t>
  </si>
  <si>
    <t>Septic tank</t>
  </si>
  <si>
    <t>Treatment type</t>
  </si>
  <si>
    <t>P removal</t>
  </si>
  <si>
    <t>N removal</t>
  </si>
  <si>
    <t>Please enter effluent concentration in cell to right:</t>
  </si>
  <si>
    <t>Default multi-source septic tank</t>
  </si>
  <si>
    <t>Default single-source septic tank</t>
  </si>
  <si>
    <t>3a.</t>
  </si>
  <si>
    <t>3b.</t>
  </si>
  <si>
    <t>Select the soil drainage type</t>
  </si>
  <si>
    <t>Select the Catchment</t>
  </si>
  <si>
    <t>Within Nitrate Vulnerable Zone (NVZ)</t>
  </si>
  <si>
    <t>mm/yr</t>
  </si>
  <si>
    <t>Select annual average rainfall band</t>
  </si>
  <si>
    <t>Freely draining</t>
  </si>
  <si>
    <t>Wensum</t>
  </si>
  <si>
    <t>Pigs</t>
  </si>
  <si>
    <t>Cereals</t>
  </si>
  <si>
    <t>Pig</t>
  </si>
  <si>
    <t>500-600 mm/yr</t>
  </si>
  <si>
    <t>600-700 mm/yr</t>
  </si>
  <si>
    <t>700-900 mm/yr</t>
  </si>
  <si>
    <t>Yare</t>
  </si>
  <si>
    <t>Bure</t>
  </si>
  <si>
    <t>Leaching rate (kg / ha / yr)2</t>
  </si>
  <si>
    <t>Mixed</t>
  </si>
  <si>
    <t>TP loading</t>
  </si>
  <si>
    <t>TN loading</t>
  </si>
  <si>
    <t>Kg/yr</t>
  </si>
  <si>
    <t>Sum total</t>
  </si>
  <si>
    <t>Water</t>
  </si>
  <si>
    <t>Greenspace</t>
  </si>
  <si>
    <t>High intensity urban land</t>
  </si>
  <si>
    <t>Medium intensity urban land</t>
  </si>
  <si>
    <t>Low intensity urban land</t>
  </si>
  <si>
    <t>Additional population load</t>
  </si>
  <si>
    <t>TN load from proposed land usage</t>
  </si>
  <si>
    <t>TP Banking coefficient</t>
  </si>
  <si>
    <t>TN Banking coefficient</t>
  </si>
  <si>
    <t>Calculate loading from proposed land usage</t>
  </si>
  <si>
    <t>Calculate loading from current land usage</t>
  </si>
  <si>
    <t>Identify the load from additional population</t>
  </si>
  <si>
    <t>TP Loading from additional population</t>
  </si>
  <si>
    <t>TN Loading from additional population</t>
  </si>
  <si>
    <t>TP load from land use change</t>
  </si>
  <si>
    <t>TN load from land use change</t>
  </si>
  <si>
    <t>TP budget for the site</t>
  </si>
  <si>
    <t>TN budget for the site</t>
  </si>
  <si>
    <t>TP Precautionary buffer</t>
  </si>
  <si>
    <t>TN Precautionary buffer</t>
  </si>
  <si>
    <t>TN proposed land use</t>
  </si>
  <si>
    <t>TN current land use</t>
  </si>
  <si>
    <t>TP percentage of development neutral</t>
  </si>
  <si>
    <t>Excess TP</t>
  </si>
  <si>
    <t>TN percentage of development neutral</t>
  </si>
  <si>
    <t>Excess TN</t>
  </si>
  <si>
    <t>Proposed nutrient load</t>
  </si>
  <si>
    <t>Current nutrient load</t>
  </si>
  <si>
    <t>TN load from current land usage</t>
  </si>
  <si>
    <t>TP loading from Wastewater</t>
  </si>
  <si>
    <t>TN loading from Wastewater</t>
  </si>
  <si>
    <t>TP Zero value calculations</t>
  </si>
  <si>
    <t>TN Zero value calculations</t>
  </si>
  <si>
    <t>Calculate the nutrient banking for the proposed development</t>
  </si>
  <si>
    <t>TN budget to be mitigated</t>
  </si>
  <si>
    <t>TP budget to be mitigated</t>
  </si>
  <si>
    <t>TP</t>
  </si>
  <si>
    <t>TN</t>
  </si>
  <si>
    <t>Note: This section calculates the required area (hectares) needed for each land use type to individually mitigate the total excess nutrients. This is included to provide context for the user when inputting required mitigation land uses in either section 4 and 5. Constructed wetland uses a generic runoff coefficient for guidance purposes only. Site-specific values will differ and should be manually inputted above.</t>
  </si>
  <si>
    <t>Meadow/semi-natural grassland/greenspace</t>
  </si>
  <si>
    <t>Note: This section allows the user to input the required area for the various land uses to be created, with the equivalent TP to be offset in order for the development to be nutrient neutral. The same applies as above regarding on-site mitigation.</t>
  </si>
  <si>
    <t>Note: This section allows the user to input the required TP to be offset for the various land uses, with the equivalent area that would be required to be created. If the mitigation is to be implemented on-site then the actual area of mitigation land may differ from the value quoted due to the relative reduction in other land uses on-site. Therefore, for on-site mitigation these areas should be used a guide and but back into Stage 3 iteratively until the project is nutrient neutral.</t>
  </si>
  <si>
    <t>Note: This section allows the user to input the required TP and TN to be offset for the various land uses, with the equivalent area that would be required to be created. If the mitigation is to be implemented on-site then the actual area of mitigation land may differ from the value quoted due to the relative reduction in other land uses on-site. Therefore, for on-site mitigation these areas should be used a guide and but back into Stage 3 iteratively until the project is nutrient neutral.</t>
  </si>
  <si>
    <t>Note: This section allows the user to input the required area for the various land uses to be created, with the equivalent TP and TN to be offset in order for the development to be nutrient neutral. The same applies as above regarding on-site mitigation.</t>
  </si>
  <si>
    <t>Potential land uses for mitigation</t>
  </si>
  <si>
    <t>Development will be Nitrate neutral - no mitigation will be required</t>
  </si>
  <si>
    <t xml:space="preserve">This stage provides a summary of the nutrient loads calculated in stages 1-3 and presents the nutrient budget for the proposed development.
A 10% precautionary buffer is included to account for uncertainties in the runoff coefficients used. The User has the option to change this buffer should this be appropriate.
</t>
  </si>
  <si>
    <t>Commercial / industrial</t>
  </si>
  <si>
    <t>Urban open space</t>
  </si>
  <si>
    <t>LFA</t>
  </si>
  <si>
    <t>Holdings on which cattle, sheep and other grazing livestock account for more than two thirds of their total standard output except holdings classified as diary. A holding is classified as LFA if more than 50% of its total area is in the Less Favoured Area (LFA).</t>
  </si>
  <si>
    <t>Land used for commercial establishments (the primary purpose of buying, selling or trading of merchandise or services including, without limitation, shopping malls, office complexes, restaurants, hotels, motels, grocery stores, automobile service stations, petroleum distribution operations, dry cleaning operations, municipal yards, warehouses, law courts, museums, churches, golf courses, government offices, air and sea terminals, bus and railway stations, and storage associated with these uses) , manufacturing plants, public utilities, mining, distribution of goods or services, administration of business activities, research and development facilities, warehousing, shipping, transporting, remanufacturing, stockpiling of raw materials, storage, repair and maintenance of commercial machinery or equipment, and waste management.</t>
  </si>
  <si>
    <t>Agricultural areas on which cereals, combinable crops and set aside are farmed.</t>
  </si>
  <si>
    <t>Holdings on which fruit (including vineyards), hardy nursery stock, glasshouse flowers and vegetables, market garden scale vegetables, outdoor blubs and flowers and mushrooms account for more than two thirds of their total standard output.</t>
  </si>
  <si>
    <t>Holdings for which none of the other categories account for more than two thirds of total standard output.</t>
  </si>
  <si>
    <t>Agricultural areas on which arable crops (including field scale vegetables) are farmed.</t>
  </si>
  <si>
    <t>Natural and semi-natural outdoor spaces provided for recreational use where fertilisers will not be applied and dog waste is managed, e.g. semi-natural parks. This does not include green infrastructure within the built urban environment as this is included in the urban categories.</t>
  </si>
  <si>
    <t>Land that contains extensive areas of either shrubs, heath or bracken. A bog refers to land that is a wetland area of muddy ground that can accumulate peat.</t>
  </si>
  <si>
    <t>Areas of surface water, including rivers, ponds and lakes.</t>
  </si>
  <si>
    <t>Area of land in urban areas used for various purposes, e.g. leisure and recreation - may include open land, e.g. sports fields, playgrounds, public squares or built facilities such as sports centres.</t>
  </si>
  <si>
    <t>Finding the operational catchment</t>
  </si>
  <si>
    <t>d) Make note of the name of the Operational Catchment and select it from the dropdown list in the relevant cell.</t>
  </si>
  <si>
    <t>a) Go to this link:  https://environment.data.gov.uk/catchment-planning/ManagementCatchment/3008</t>
  </si>
  <si>
    <t>b) This will give a high-level view of operational catchments Use the zoom feature to find the exact location of the development.</t>
  </si>
  <si>
    <t>c) Click on the light blue area on the map in which the development is located. This will inform the user of the operational catchment name</t>
  </si>
  <si>
    <t>b) Enter the location of the development site in the search bar.</t>
  </si>
  <si>
    <t>c) Once the area has been located, click on the map where the development is located to find out if is within an NVZ.</t>
  </si>
  <si>
    <t xml:space="preserve">d) Make note of this and select this in the dropdown list. </t>
  </si>
  <si>
    <t>Finding out whether the development is in a Nitrate Vulnerable Zone (NVZ):</t>
  </si>
  <si>
    <t>a) Go to this link: https://mapapps2.bgs.ac.uk/ukso/home.html?layers=NVZEng</t>
  </si>
  <si>
    <t>Unknown</t>
  </si>
  <si>
    <t>Rainfall band</t>
  </si>
  <si>
    <t>midpoint</t>
  </si>
  <si>
    <t>Catchment wetness (U)</t>
  </si>
  <si>
    <t>High density urban</t>
  </si>
  <si>
    <t>Commercial / Industrial</t>
  </si>
  <si>
    <t>550-575</t>
  </si>
  <si>
    <t>575-600</t>
  </si>
  <si>
    <t>600-625</t>
  </si>
  <si>
    <t>625-650</t>
  </si>
  <si>
    <t>650-675</t>
  </si>
  <si>
    <t>675-700</t>
  </si>
  <si>
    <t>700-750</t>
  </si>
  <si>
    <t>750-800</t>
  </si>
  <si>
    <t>800-850</t>
  </si>
  <si>
    <t>850-900</t>
  </si>
  <si>
    <t>Land use</t>
  </si>
  <si>
    <t>EMC (mg/l)</t>
  </si>
  <si>
    <t>Imperviousness (%)</t>
  </si>
  <si>
    <t>Urban open Space</t>
  </si>
  <si>
    <t>Current TP permit limit (mg/l)</t>
  </si>
  <si>
    <t>Post-2025 TP permit limit (mg/l)</t>
  </si>
  <si>
    <t>Calculate nutrient load (Kg/year) derived from the development as a result of increased population</t>
  </si>
  <si>
    <t>Calculate nutrient load after treatment</t>
  </si>
  <si>
    <t>TP discharged by on-site treatment plant</t>
  </si>
  <si>
    <t>TN discharged by on-site treatment plant</t>
  </si>
  <si>
    <t>TP load from additional population</t>
  </si>
  <si>
    <t>Calculate the net change in nutrient load from the proposed development</t>
  </si>
  <si>
    <t>Calculate net change in nutrient load from land use change</t>
  </si>
  <si>
    <t>Calculate nutrient budget for the development site</t>
  </si>
  <si>
    <t>Calculate precautionary buffer</t>
  </si>
  <si>
    <t>Total nutrient budget for the development site</t>
  </si>
  <si>
    <t>Total Area of proposed TP mitigation land uses</t>
  </si>
  <si>
    <t>Calculate existing (pre-development) nutrient load from current land use of the development</t>
  </si>
  <si>
    <t>Calculate nutrient load for the proposed development</t>
  </si>
  <si>
    <t>Total Nitrogen budget for the site</t>
  </si>
  <si>
    <t>Nutrient budget to be mitigated</t>
  </si>
  <si>
    <t>Note: Rainfall can be identified using the map on the Rainfall tab</t>
  </si>
  <si>
    <t>{"IsHide":false,"HiddenInExcel":false,"SheetId":-1,"Name":"Sheet1","Guid":"M3N0WR","Index":1,"VisibleRange":"","SheetTheme":{"TabColor":"","BodyColor":"","BodyImage":""},"IsPrintSheet":false}</t>
  </si>
  <si>
    <t>{"IsHide":false,"HiddenInExcel":false,"SheetId":-1,"Name":"Help","Guid":"GH02KY","Index":2,"VisibleRange":"","SheetTheme":{"TabColor":"","BodyColor":"","BodyImage":""},"IsPrintSheet":false}</t>
  </si>
  <si>
    <t>{"IsHide":false,"HiddenInExcel":false,"SheetId":-1,"Name":"Stage 6","Guid":"02A03G","Index":11,"VisibleRange":"","SheetTheme":{"TabColor":"","BodyColor":"","BodyImage":""},"IsPrintSheet":false}</t>
  </si>
  <si>
    <t>Calculate loading from wastewater with onsite treatment plants</t>
  </si>
  <si>
    <t>General arable</t>
  </si>
  <si>
    <t>Green space</t>
  </si>
  <si>
    <t>Open urban space</t>
  </si>
  <si>
    <t>kg/ha/year</t>
  </si>
  <si>
    <t>Note: The sum total of land uses must equal the development site area inputted in Stage 2 - the box will colour red if the areas do not match. Wetland refers to specific wetland related to a watercourse. For more information, please refer to the land use definitions in the help tab.</t>
  </si>
  <si>
    <t>TP budget that would exit the Water Recycling Centre (WRC) after treatment</t>
  </si>
  <si>
    <t>Note: If the sewage is to be treated by WRCs then the user should select "Yes" in the list above. If package treatment plants are to be used instead, then the user should select "No" above. 
This is the process of collecting wastewater from houses and guiding it, via the sewage network, to a WRC (also known as sewage works). The nutrient concentration of the influent is calculated by multiplying the number of people by the expected water usage per day. The nutrient concentration within the effluent is calculated by applying the discharge level of the appropriate WRC. The nurtrient loading is expressed in kg/year.</t>
  </si>
  <si>
    <t>Confirm receiving WRC and discharge level</t>
  </si>
  <si>
    <t>Select the WRC the development will connect to</t>
  </si>
  <si>
    <t>Phosphorus WRC discharge level</t>
  </si>
  <si>
    <t>Nitrogen WRC discharge level</t>
  </si>
  <si>
    <t>Calculate the nutrient load discharged by the WRC</t>
  </si>
  <si>
    <t>TP discharged by WRC</t>
  </si>
  <si>
    <t>TN discharged by WRC</t>
  </si>
  <si>
    <t xml:space="preserve">Note: Please use the drop down lists to select the WRC that the proposed development will be connected to. If the WRC is not known, then please select 'Unknown' from the drop down list.  </t>
  </si>
  <si>
    <t xml:space="preserve">This tool is only necessary for proposed developments that have the potential to increase nutrient loading to rivers that flow into the River Wensum SAC and the Broads SAC. Where a site  drains to a Water Recycling Centre (WRC) outside of the catchment then Stage 1 then no likely significant effects can be determined. </t>
  </si>
  <si>
    <t>This stage calculates the area and land uses of the mitigation site required for the proposed development to be nutrient neutral, under current WRC permit limits.
Step 4: The user has the option to select the amount of nutrient load to be offset by the various land uses, which will then calculate the relevant area of land (Hectares) that needs to be changed.
Step 5: The user has the option to input the required area of land (hectares) to be mitigated until the project is nutrient neutral, which will then calculate the equivalent nutrient load for each land use.
The banking coefficients for wetlands uses a value for guidance purposes only. A site bespoke site-specific value will need to be calculated</t>
  </si>
  <si>
    <t>This stage calculates the area and land uses of the mitigation site required for the proposed development to be nutrient neutral, under post-2025 WRC permit limits. THis only applies to TP.
Step 4: The user has the option to select the amount of nutrient load to be offset by the various land uses, which will then calculate the relevant area of land (Hectares) that needs to be changed.
Step 5: The user has the option to input the required area of land (hectares) to be mitigated until the project is nutrient neutral, which will then calculate the equivalent nutrient load for each land use.</t>
  </si>
  <si>
    <t>This stage provides a summary in the differences in mitigation land use area between the current WRC permit limits and the post-2025 WRC permit limits</t>
  </si>
  <si>
    <t xml:space="preserve">The Water industry is looking to update and bring in new final effluent phosphate consent which should come in before 2025, as part of the Water Industry National Environment Programme (WINEP). The enhancements are required to meet more onerous environmental permit requirements. Some WRCs in the catchment already operate at a permit limit. However, following plans by Anglian Water under AMP7, improvements will be made to some WRCs. Further information regarding post-2025 permit limits can be found below. Where sites do not have a permit limit, a default value of 5mg/l has been applied based on the value applied by the Environment Agency routinely for modelling purposes. </t>
  </si>
  <si>
    <t>Water Recycling centres</t>
  </si>
  <si>
    <t>Water Recycling Centre Permit Limits</t>
  </si>
  <si>
    <t>Please select how the sewage from the proposed development will be handled, noting that a development must be handled by either a water recycling centre or onsite treatment plants, and cannot be handled by both. Consideration of wastewater loading is not required where a site drains to a WRC that does not drain in to the River Wensum or the Broads catchments</t>
  </si>
  <si>
    <t>Is sewage to be handled by water recycling centre?</t>
  </si>
  <si>
    <t>Note: This stage calculates the net change in TP and TN load to the catchment from the proposed development. This is derived by calculating the difference between the load calculated for the proposed development (wastewater, urban area, open space, etc.) and that for the existing land uses. The nutrient budget for the site has been calculated under current and post-2025 WRC permit levels, where applicable.</t>
  </si>
  <si>
    <t>Current WRC</t>
  </si>
  <si>
    <t>Note: This section demonstrates to the user the amount of mitigation land that is no longer required for the project to be 'Phosphate Neutral' following implementation of the AMP7 WRC permit limits</t>
  </si>
  <si>
    <t>Difference in TP mitigation land uses between current WRC permit limits and post 2025 WRC permit limits</t>
  </si>
  <si>
    <t>Water Recycling Centre (WRC)</t>
  </si>
  <si>
    <t>Note: Please input the banking coefficient (i.e. the nutrient removal amount in kg/ha/yr) calculated for the designed wetland / SuDS. The calculated value should be justifiable with supporting evidence.</t>
  </si>
  <si>
    <t>Note: The figures used throughout this model are based on scientific research, evidence and modelled catchments and represent the best available evidence. However, it is important that a precautionary buffer is used that recognises the uncertainty with these figures and ensures, with reasonable certainty, that there will be no adverse effect on site integrity. As such, a 10% precautionary buffer added to tthe nutrient budget.</t>
  </si>
  <si>
    <t xml:space="preserve">Note: This section provides details on the number of proposed dwellings that can be built and occupied that are acceptable as nutrient neutral prior to the implementation of mitigation measures, should they be required. </t>
  </si>
  <si>
    <t>This tool consists of seven main worksheets:
Stage 1 - Identifies the additional nutrients as a result of changes in the population
Stage 2 - Calculates the nutrient load from current land use
Stage 3 - Calculates the nutrient load from future land uses
Stage 4 - Calculates the total change in nutrient loading as a result of the proposed development
Mitigation - current - Calculates the required solutions to achieve nutrient neutrality under current wastewater permit limits
Mitigation - post 2025 - Calculates the required solutions to achieve nutrient neutrality under AMP7 wastewater permit limits
Mitigation - post 2030 - Calculates the required solutions to achieve nutrient neutrality under AMP8 wastewater permit limits
Mitigation land use comparison - Calculates the difference in mitigation solutions between current wastewater permit limits and post-2030 permit limits</t>
  </si>
  <si>
    <t>Post-2030 TP permit limit (mg/l)</t>
  </si>
  <si>
    <t>Post-2030 TN permit limit (mg/l)</t>
  </si>
  <si>
    <t>Current discharge</t>
  </si>
  <si>
    <t>Post 2030 discharge</t>
  </si>
  <si>
    <t>Post 2030</t>
  </si>
  <si>
    <t>Current</t>
  </si>
  <si>
    <t>Current TP discharge concentration</t>
  </si>
  <si>
    <t>Current TN discharge concentration</t>
  </si>
  <si>
    <t>Post 2030 TP discharge concentration</t>
  </si>
  <si>
    <t>Post 2030 TN discharge concentration</t>
  </si>
  <si>
    <t>Development will generate additional Phosphate (Mitigation required) - Please progress to 'Mitigation current' tab</t>
  </si>
  <si>
    <t>Development will generate additional Phosphate (Mitigation required) - Please progress to 'Mitigation - post 2025' tab</t>
  </si>
  <si>
    <t>Development will generate additional Nitrate (Mitigation required) - Please progress to 'mitigation - current' tab</t>
  </si>
  <si>
    <t>Development will generate additional Nitrate (Mitigation required) - Please progress to 'Mitigation - post 2030' tab</t>
  </si>
  <si>
    <t>Development will generate additional Phosphate (Mitigation required) - Please progress to 'Mitigation - post 2030' tab</t>
  </si>
  <si>
    <t>Current TP loading</t>
  </si>
  <si>
    <t>Post 2030 TP loading</t>
  </si>
  <si>
    <t>Current TN loading</t>
  </si>
  <si>
    <t>Post 2030 TN loading</t>
  </si>
  <si>
    <t>Post 2030 WRC</t>
  </si>
  <si>
    <t>Mitigation - current</t>
  </si>
  <si>
    <t>Mitigation - post 2025</t>
  </si>
  <si>
    <t>Mitigation - post 2030</t>
  </si>
  <si>
    <t>2030 Value known?</t>
  </si>
  <si>
    <t>Post 2030 TP discharge level (mg/l)</t>
  </si>
  <si>
    <t>Post 2025 TN Discharge level (mg/l)</t>
  </si>
  <si>
    <t>Post 2025 TP Discharge level (mg/l)</t>
  </si>
  <si>
    <t>Post 2030 TN discharge level (mg/l)</t>
  </si>
  <si>
    <t>2022 TN Discharge level (mg/l)</t>
  </si>
  <si>
    <t>2022 TP Discharge level (mg/l)</t>
  </si>
  <si>
    <t>2022 Value known?</t>
  </si>
  <si>
    <t>High density residential</t>
  </si>
  <si>
    <t>Medium density residential</t>
  </si>
  <si>
    <t>Low density residential</t>
  </si>
  <si>
    <t>TN load from additional population</t>
  </si>
  <si>
    <t xml:space="preserve">Areas of houses and associated infrastructure. This is inclusive of roads, driveways, grass verges and gardens. 
High density often applies to urban cores. High density residential developments will typically have greater than 50 units per hectare. </t>
  </si>
  <si>
    <t xml:space="preserve">Medium density residential would apply to larger towns whereby there is a high percentage of development but situated outside of core cities. Medium density residential developments will typically have between 25 -50 units per hectare. </t>
  </si>
  <si>
    <t xml:space="preserve">Rural communities are classed under low density residential land. Low density residential developments will typically have less than 25 units per hectare. </t>
  </si>
  <si>
    <t>WRC permit limits</t>
  </si>
  <si>
    <t>Note: Use the Link in the introduction tab to find the appropriate catchment</t>
  </si>
  <si>
    <t>Note: Use the criteria table in the introduction tab to identify if the soil type</t>
  </si>
  <si>
    <t>Allotment</t>
  </si>
  <si>
    <t>The drainage characteristics of soil has a control over the dominant flow pathways for pollutant losses and as such controls the loading of Phosphate into surface water bodies. Therefore the runoff coefficients from various land uses are different in freely draining soil compared to impermeable soil. For impermeable soil under Arable land use, it is assumed that man made drainage systems would be in place, whereas rough grazing and woodland areas would not be drained. For free-draining soil, the majority of the flow would be to groundwater, and it is assumed that drainage would not be required.</t>
  </si>
  <si>
    <t>a) The user should use the Soilscapes tool (Cranfield soil and Agrifood institute, 2020) to determine the dominant soil type on their site. Soilscapes can be found at http://www.landis.org.uk/soilscapes/index.cfm</t>
  </si>
  <si>
    <t>c) Once the area has been located, click on the map where the development is located to find out the ID number and name of the soil type.</t>
  </si>
  <si>
    <t>b) Zoom into the development site on the map</t>
  </si>
  <si>
    <t>d) Make note of this and determine the drainage type using the below table</t>
  </si>
  <si>
    <t>a</t>
  </si>
  <si>
    <t>b</t>
  </si>
  <si>
    <t>c</t>
  </si>
  <si>
    <t>The user should select the value from the following drop-down list that applies to the development. Use the links below or navigate to the 'Introduction' tab to find instructions on how this information can be acquired.</t>
  </si>
  <si>
    <t>Note: Use the Link in the introduction tab to find out whether the development is in a Nitrate Vulnerable Zone (NVZ)</t>
  </si>
  <si>
    <t>Input the area of the existing land use type(s)</t>
  </si>
  <si>
    <t>Introduction Tab</t>
  </si>
  <si>
    <t>Information tab</t>
  </si>
  <si>
    <t>Mitigation comparison</t>
  </si>
  <si>
    <t>Zero value calculator</t>
  </si>
  <si>
    <t>Rainfall Tab</t>
  </si>
  <si>
    <r>
      <t xml:space="preserve">This stage calculates the change in nutrient loading as a result of changes in the population of a site.
Step 1: The user should input the additional number of units that are proposed by the development. This is then multiplied by the occupancy rate per dwelling.
Step 2: The user has the option to select whether sewage from the proposed development will be handled by water recycling centres or by Package treatment plants. The user must select one or the other, both options cannot be used. 
Step 2a: If the proposed development is to use </t>
    </r>
    <r>
      <rPr>
        <b/>
        <sz val="12"/>
        <color rgb="FF000000"/>
        <rFont val="Calibri"/>
        <family val="2"/>
        <scheme val="minor"/>
      </rPr>
      <t>Water Recycling Centre</t>
    </r>
    <r>
      <rPr>
        <sz val="12"/>
        <color rgb="FF000000"/>
        <rFont val="Calibri"/>
        <family val="2"/>
        <scheme val="minor"/>
      </rPr>
      <t xml:space="preserve"> (</t>
    </r>
    <r>
      <rPr>
        <b/>
        <sz val="12"/>
        <color rgb="FF000000"/>
        <rFont val="Calibri"/>
        <family val="2"/>
        <scheme val="minor"/>
      </rPr>
      <t>WRC)</t>
    </r>
    <r>
      <rPr>
        <sz val="12"/>
        <color rgb="FF000000"/>
        <rFont val="Calibri"/>
        <family val="2"/>
        <scheme val="minor"/>
      </rPr>
      <t>, then the user should select 'Yes' from the drop down box. Following this, the user should select the WRC that the development will connect to. This will select the discharge concentration from the chosen WRC.
Step 2b: If the proposed development is to use</t>
    </r>
    <r>
      <rPr>
        <b/>
        <sz val="12"/>
        <color rgb="FF000000"/>
        <rFont val="Calibri"/>
        <family val="2"/>
        <scheme val="minor"/>
      </rPr>
      <t xml:space="preserve"> Onsite treatment plants</t>
    </r>
    <r>
      <rPr>
        <sz val="12"/>
        <color rgb="FF000000"/>
        <rFont val="Calibri"/>
        <family val="2"/>
        <scheme val="minor"/>
      </rPr>
      <t xml:space="preserve">, then the user should select 'Yes' from the drop down box. Following this, the user should input the final effluent quality of the onsite treatment plant. If the efficiency is unknown then the user should input a precautionary default values. Higher removal rates can be achieved through PTPs but these will typically require additional phosphate reduction such as chemical dosing that standard PTPs may not include.   
</t>
    </r>
  </si>
  <si>
    <r>
      <t>This stage calculates the nutrient load from the current land use.
Step 2: The user should input the area (hectares) of the current land uses that make up the total area of the development site. A GIS viewer can be used to identify the land uses on a coarse scale (</t>
    </r>
    <r>
      <rPr>
        <b/>
        <sz val="12"/>
        <color theme="1"/>
        <rFont val="Calibri"/>
        <family val="2"/>
        <scheme val="minor"/>
      </rPr>
      <t>https://gridreferencefinder.com/</t>
    </r>
    <r>
      <rPr>
        <sz val="12"/>
        <color theme="1"/>
        <rFont val="Calibri"/>
        <family val="2"/>
        <scheme val="minor"/>
      </rPr>
      <t>). However, if more detail is known about the site land uses then this should be manually inputted by the user.</t>
    </r>
  </si>
  <si>
    <r>
      <t>HaskoningDHV UK Ltd., a company of</t>
    </r>
    <r>
      <rPr>
        <b/>
        <sz val="12"/>
        <color rgb="FF000000"/>
        <rFont val="Calibri"/>
        <family val="2"/>
        <scheme val="minor"/>
      </rPr>
      <t xml:space="preserve"> </t>
    </r>
    <r>
      <rPr>
        <sz val="12"/>
        <color rgb="FF000000"/>
        <rFont val="Calibri"/>
        <family val="2"/>
        <scheme val="minor"/>
      </rPr>
      <t>Royal HaskoningDHV
Westpoint, Lynch Wood Business Park,
Peterborough PE2 6FZ
Registered in England 1336844
W: www.royalhaskoningdhv.com</t>
    </r>
  </si>
  <si>
    <t xml:space="preserve">The Rainfall tab shows the average annual rainfall in the nutrient neutrality area for the period 2001 to 2021. The rainfall is split into the following bands: 550-575 mm/yr, 575-600mm/yr, 600-625mm/yr, 625-650mm/yr, 650-675mm/yr, 675-700mm/yr, 700-750mm/yr, 750-800mm/yr and 800-850mm/yr. Rainfall amounts are typically the greatest in the north and west of the catchment and lowest in the south and east. </t>
  </si>
  <si>
    <r>
      <rPr>
        <b/>
        <sz val="12"/>
        <color rgb="FF000000"/>
        <rFont val="Calibri"/>
        <family val="2"/>
        <scheme val="minor"/>
      </rPr>
      <t>Stage 1</t>
    </r>
    <r>
      <rPr>
        <sz val="12"/>
        <color rgb="FF000000"/>
        <rFont val="Calibri"/>
        <family val="2"/>
        <scheme val="minor"/>
      </rPr>
      <t xml:space="preserve"> </t>
    </r>
  </si>
  <si>
    <r>
      <t xml:space="preserve">Note: This calculation should only include the </t>
    </r>
    <r>
      <rPr>
        <b/>
        <i/>
        <sz val="12"/>
        <color rgb="FF000000"/>
        <rFont val="Calibri"/>
        <family val="2"/>
        <scheme val="minor"/>
      </rPr>
      <t>additional</t>
    </r>
    <r>
      <rPr>
        <i/>
        <sz val="12"/>
        <color rgb="FF000000"/>
        <rFont val="Calibri"/>
        <family val="2"/>
        <scheme val="minor"/>
      </rPr>
      <t xml:space="preserve"> units resulting from the proposed development, including any development that will result in overnight accommodation. For land not currently in residential use, this will be the total units proposed by the development. However, for land already in residential use, this should only be the increase in units.
The user should input the relevent number of dwellings into options a, b or c below. In the case of residential developments, only option a is required. </t>
    </r>
  </si>
  <si>
    <r>
      <t xml:space="preserve">Number of </t>
    </r>
    <r>
      <rPr>
        <b/>
        <sz val="12"/>
        <color rgb="FF000000"/>
        <rFont val="Calibri"/>
        <family val="2"/>
        <scheme val="minor"/>
      </rPr>
      <t>additional</t>
    </r>
    <r>
      <rPr>
        <sz val="12"/>
        <color rgb="FF000000"/>
        <rFont val="Calibri"/>
        <family val="2"/>
        <scheme val="minor"/>
      </rPr>
      <t xml:space="preserve"> rooms above 6 residents (sui generis) for houses in multiple occupation</t>
    </r>
  </si>
  <si>
    <r>
      <t xml:space="preserve">Note: This section is only required for projects that will generate additional nutrients and as a result need to implement mitigation measures, in order to achieve nutrient neutrality under the </t>
    </r>
    <r>
      <rPr>
        <b/>
        <i/>
        <sz val="12"/>
        <color rgb="FF000000"/>
        <rFont val="Calibri"/>
        <family val="2"/>
        <scheme val="minor"/>
      </rPr>
      <t>current WRC permit limits</t>
    </r>
    <r>
      <rPr>
        <i/>
        <sz val="12"/>
        <color rgb="FF000000"/>
        <rFont val="Calibri"/>
        <family val="2"/>
        <scheme val="minor"/>
      </rPr>
      <t xml:space="preserve">. </t>
    </r>
  </si>
  <si>
    <r>
      <t>Note: This section is only required for projects that will generate additional nutrients and as a result need to implement mitigation measures, in order to achieve nutrient neutrality under the</t>
    </r>
    <r>
      <rPr>
        <b/>
        <i/>
        <sz val="12"/>
        <color rgb="FF000000"/>
        <rFont val="Calibri"/>
        <family val="2"/>
        <scheme val="minor"/>
      </rPr>
      <t xml:space="preserve"> post 2025 WRC permit limits. </t>
    </r>
  </si>
  <si>
    <t>90% permit</t>
  </si>
  <si>
    <t>Average removal rate (76%)</t>
  </si>
  <si>
    <t>River Wensum SAC &amp; Broads SAC Nutrient Budget Calculator v1.1</t>
  </si>
  <si>
    <t>Following the Dutch Nitrogen Case which ruled that where a site is failing to achieve condition due to pollution, the potential for a new development to add to the nutrient load is "necessarily limited". Special Areas of Conservation (SAC) sites are internationally important areas defined by the National Planning Policy Framework (NPPF) and given special protection under the European Union's Habitats Directive, which was transposed into UK law by the Habitats and Conservation of Species Regulations 2010. This was updated by the Conservation of Habitats and Species (Amendment)(EU Exit) Regulations 2019. As such, Natural England's view is that any development proposal that adds nutrients into the catchment of internationally important sites, such as the River Wensum SAC and the Broads SAC, is likely to have a significant effect. Proposed developments likely to affect European Sites should be subject to Habitats Regulations Assessment to assess the Likely Significant Affect on the SAC. Application within the Wensum and Broads catchments will have a Likely Effect and will require an Appropriate Assessment (i.e. the nutrient calculator) to assess the implications of the proposal on the designated sites.</t>
  </si>
  <si>
    <t>Nutrient budget calculator, v1.1 (ReleasedOctober 2022)</t>
  </si>
  <si>
    <t>Amended Application material (RevC) submitted in January 2023 seeks consent for up to 1,100 dwellings and up to 8,000 Sqm (NIA) non-residential floorspace and associated development.</t>
  </si>
  <si>
    <t>Anglia Square, Norwich</t>
  </si>
  <si>
    <t>18/00330/F</t>
  </si>
  <si>
    <t>26.01.23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</si>
</sst>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
    <numFmt numFmtId="166" formatCode="0.000"/>
  </numFmts>
  <fonts count="31" x14ac:knownFonts="1">
    <font>
      <sz val="10"/>
      <color rgb="FF000000"/>
      <name val="Arial"/>
      <family val="2"/>
    </font>
    <font>
      <sz val="11"/>
      <color theme="1"/>
      <name val="Calibri"/>
      <family val="2"/>
      <scheme val="minor"/>
    </font>
    <font>
      <sz val="11"/>
      <color theme="1"/>
      <name val="Calibri"/>
      <family val="2"/>
      <scheme val="minor"/>
    </font>
    <font>
      <sz val="11"/>
      <color theme="1"/>
      <name val="Calibri"/>
      <family val="2"/>
      <scheme val="minor"/>
    </font>
    <font>
      <b/>
      <sz val="10"/>
      <color rgb="FF000000"/>
      <name val="Arial"/>
      <family val="2"/>
    </font>
    <font>
      <sz val="11"/>
      <color rgb="FF000000"/>
      <name val="Arial"/>
      <family val="2"/>
    </font>
    <font>
      <sz val="12"/>
      <color rgb="FF000000"/>
      <name val="Arial"/>
      <family val="2"/>
    </font>
    <font>
      <sz val="8"/>
      <color rgb="FF000000"/>
      <name val="Arial"/>
      <family val="2"/>
    </font>
    <font>
      <b/>
      <sz val="8"/>
      <color rgb="FF000000"/>
      <name val="Arial"/>
      <family val="2"/>
    </font>
    <font>
      <i/>
      <sz val="8"/>
      <color rgb="FF000000"/>
      <name val="Arial"/>
      <family val="2"/>
    </font>
    <font>
      <b/>
      <sz val="12"/>
      <color rgb="FF000000"/>
      <name val="Arial"/>
      <family val="2"/>
    </font>
    <font>
      <sz val="11"/>
      <color theme="1"/>
      <name val="Arial"/>
      <family val="2"/>
    </font>
    <font>
      <sz val="8"/>
      <name val="Arial"/>
      <family val="2"/>
    </font>
    <font>
      <b/>
      <sz val="11"/>
      <color theme="1"/>
      <name val="Calibri"/>
      <family val="2"/>
      <scheme val="minor"/>
    </font>
    <font>
      <u/>
      <sz val="10"/>
      <color theme="10"/>
      <name val="Arial"/>
      <family val="2"/>
    </font>
    <font>
      <b/>
      <sz val="12"/>
      <color rgb="FF000000"/>
      <name val="Calibri"/>
      <family val="2"/>
      <scheme val="minor"/>
    </font>
    <font>
      <b/>
      <sz val="10"/>
      <color rgb="FF000000"/>
      <name val="Calibri"/>
      <family val="2"/>
      <scheme val="minor"/>
    </font>
    <font>
      <sz val="10"/>
      <color rgb="FF000000"/>
      <name val="Calibri"/>
      <family val="2"/>
      <scheme val="minor"/>
    </font>
    <font>
      <sz val="11"/>
      <color rgb="FF000000"/>
      <name val="Calibri"/>
      <family val="2"/>
      <scheme val="minor"/>
    </font>
    <font>
      <sz val="10.5"/>
      <color rgb="FF000000"/>
      <name val="Calibri"/>
      <family val="2"/>
      <scheme val="minor"/>
    </font>
    <font>
      <sz val="10.5"/>
      <color rgb="FF000000"/>
      <name val="Arial"/>
      <family val="2"/>
    </font>
    <font>
      <sz val="12"/>
      <color rgb="FF000000"/>
      <name val="Calibri"/>
      <family val="2"/>
      <scheme val="minor"/>
    </font>
    <font>
      <sz val="10"/>
      <color theme="1"/>
      <name val="Calibri"/>
      <family val="2"/>
      <scheme val="minor"/>
    </font>
    <font>
      <sz val="12"/>
      <color theme="1"/>
      <name val="Calibri"/>
      <family val="2"/>
      <scheme val="minor"/>
    </font>
    <font>
      <b/>
      <sz val="12"/>
      <color theme="1"/>
      <name val="Calibri"/>
      <family val="2"/>
      <scheme val="minor"/>
    </font>
    <font>
      <u/>
      <sz val="12"/>
      <color theme="10"/>
      <name val="Calibri"/>
      <family val="2"/>
      <scheme val="minor"/>
    </font>
    <font>
      <sz val="12"/>
      <name val="Calibri"/>
      <family val="2"/>
      <scheme val="minor"/>
    </font>
    <font>
      <i/>
      <sz val="12"/>
      <color rgb="FF000000"/>
      <name val="Calibri"/>
      <family val="2"/>
      <scheme val="minor"/>
    </font>
    <font>
      <b/>
      <i/>
      <sz val="12"/>
      <color rgb="FF000000"/>
      <name val="Calibri"/>
      <family val="2"/>
      <scheme val="minor"/>
    </font>
    <font>
      <sz val="12"/>
      <color rgb="FFFF0000"/>
      <name val="Calibri"/>
      <family val="2"/>
      <scheme val="minor"/>
    </font>
    <font>
      <u/>
      <sz val="12"/>
      <color theme="10"/>
      <name val="Arial"/>
      <family val="2"/>
    </font>
  </fonts>
  <fills count="3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0000"/>
        <bgColor indexed="64"/>
      </patternFill>
    </fill>
    <fill>
      <patternFill patternType="solid">
        <fgColor rgb="FFB9E8FF"/>
        <bgColor indexed="64"/>
      </patternFill>
    </fill>
    <fill>
      <patternFill patternType="solid">
        <fgColor rgb="FFFFFFCC"/>
        <bgColor indexed="64"/>
      </patternFill>
    </fill>
    <fill>
      <patternFill patternType="solid">
        <fgColor rgb="FFFFFF00"/>
        <bgColor indexed="64"/>
      </patternFill>
    </fill>
    <fill>
      <patternFill patternType="solid">
        <fgColor rgb="FFF0EA00"/>
        <bgColor indexed="64"/>
      </patternFill>
    </fill>
    <fill>
      <patternFill patternType="solid">
        <fgColor rgb="FFE0C0A0"/>
        <bgColor indexed="64"/>
      </patternFill>
    </fill>
    <fill>
      <patternFill patternType="solid">
        <fgColor rgb="FFCC6600"/>
        <bgColor indexed="64"/>
      </patternFill>
    </fill>
    <fill>
      <patternFill patternType="solid">
        <fgColor rgb="FF996633"/>
        <bgColor indexed="64"/>
      </patternFill>
    </fill>
    <fill>
      <patternFill patternType="solid">
        <fgColor rgb="FF603000"/>
        <bgColor indexed="64"/>
      </patternFill>
    </fill>
    <fill>
      <patternFill patternType="solid">
        <fgColor rgb="FFA29E00"/>
        <bgColor indexed="64"/>
      </patternFill>
    </fill>
    <fill>
      <patternFill patternType="solid">
        <fgColor rgb="FFDE8400"/>
        <bgColor indexed="64"/>
      </patternFill>
    </fill>
    <fill>
      <patternFill patternType="solid">
        <fgColor rgb="FFF1EFDB"/>
        <bgColor indexed="64"/>
      </patternFill>
    </fill>
    <fill>
      <patternFill patternType="solid">
        <fgColor rgb="FFF69CAB"/>
        <bgColor indexed="64"/>
      </patternFill>
    </fill>
    <fill>
      <patternFill patternType="solid">
        <fgColor rgb="FFFD7835"/>
        <bgColor indexed="64"/>
      </patternFill>
    </fill>
    <fill>
      <patternFill patternType="solid">
        <fgColor rgb="FFC40000"/>
        <bgColor indexed="64"/>
      </patternFill>
    </fill>
    <fill>
      <patternFill patternType="solid">
        <fgColor rgb="FFFFCCFF"/>
        <bgColor indexed="64"/>
      </patternFill>
    </fill>
    <fill>
      <patternFill patternType="solid">
        <fgColor rgb="FF00FE00"/>
        <bgColor indexed="64"/>
      </patternFill>
    </fill>
    <fill>
      <patternFill patternType="solid">
        <fgColor rgb="FF269A26"/>
        <bgColor indexed="64"/>
      </patternFill>
    </fill>
    <fill>
      <patternFill patternType="solid">
        <fgColor rgb="FFB2FF8B"/>
        <bgColor indexed="64"/>
      </patternFill>
    </fill>
    <fill>
      <patternFill patternType="solid">
        <fgColor rgb="FF33CCFF"/>
        <bgColor indexed="64"/>
      </patternFill>
    </fill>
    <fill>
      <patternFill patternType="solid">
        <fgColor rgb="FF3399FF"/>
        <bgColor indexed="64"/>
      </patternFill>
    </fill>
    <fill>
      <patternFill patternType="solid">
        <fgColor rgb="FF8C8CB2"/>
        <bgColor indexed="64"/>
      </patternFill>
    </fill>
    <fill>
      <patternFill patternType="solid">
        <fgColor rgb="FF000099"/>
        <bgColor indexed="64"/>
      </patternFill>
    </fill>
    <fill>
      <patternFill patternType="solid">
        <fgColor rgb="FF8B8585"/>
        <bgColor indexed="64"/>
      </patternFill>
    </fill>
    <fill>
      <patternFill patternType="solid">
        <fgColor rgb="FF9900CC"/>
        <bgColor indexed="64"/>
      </patternFill>
    </fill>
    <fill>
      <patternFill patternType="solid">
        <fgColor rgb="FFFF00FF"/>
        <bgColor indexed="64"/>
      </patternFill>
    </fill>
    <fill>
      <patternFill patternType="solid">
        <fgColor rgb="FFD19FFF"/>
        <bgColor indexed="64"/>
      </patternFill>
    </fill>
    <fill>
      <patternFill patternType="solid">
        <fgColor theme="7" tint="0.79998168889431442"/>
        <bgColor indexed="64"/>
      </patternFill>
    </fill>
    <fill>
      <patternFill patternType="solid">
        <fgColor rgb="FFDDEBF7"/>
        <bgColor indexed="64"/>
      </patternFill>
    </fill>
    <fill>
      <patternFill patternType="solid">
        <fgColor theme="9" tint="0.79998168889431442"/>
        <bgColor indexed="64"/>
      </patternFill>
    </fill>
    <fill>
      <patternFill patternType="solid">
        <fgColor rgb="FFD6F4FE"/>
        <bgColor indexed="64"/>
      </patternFill>
    </fill>
    <fill>
      <patternFill patternType="solid">
        <fgColor rgb="FFFFF2CC"/>
        <bgColor indexed="64"/>
      </patternFill>
    </fill>
    <fill>
      <patternFill patternType="solid">
        <fgColor rgb="FFFFFFFF"/>
        <bgColor indexed="64"/>
      </patternFill>
    </fill>
    <fill>
      <patternFill patternType="solid">
        <fgColor rgb="FFFFC000"/>
        <bgColor indexed="64"/>
      </patternFill>
    </fill>
    <fill>
      <patternFill patternType="solid">
        <fgColor theme="7"/>
        <bgColor indexed="64"/>
      </patternFill>
    </fill>
  </fills>
  <borders count="6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ck">
        <color indexed="64"/>
      </right>
      <top style="medium">
        <color indexed="64"/>
      </top>
      <bottom/>
      <diagonal/>
    </border>
    <border>
      <left/>
      <right style="thick">
        <color indexed="64"/>
      </right>
      <top/>
      <bottom/>
      <diagonal/>
    </border>
    <border>
      <left/>
      <right style="thick">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5">
    <xf numFmtId="0" fontId="0" fillId="0" borderId="0"/>
    <xf numFmtId="9" fontId="3" fillId="0" borderId="0" applyFont="0" applyFill="0" applyBorder="0" applyAlignment="0" applyProtection="0"/>
    <xf numFmtId="0" fontId="11" fillId="0" borderId="0"/>
    <xf numFmtId="0" fontId="11" fillId="0" borderId="0"/>
    <xf numFmtId="0" fontId="14" fillId="0" borderId="0" applyNumberFormat="0" applyFill="0" applyBorder="0" applyAlignment="0" applyProtection="0"/>
  </cellStyleXfs>
  <cellXfs count="481">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0" xfId="0" applyFill="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5" fillId="2" borderId="0" xfId="0" applyFont="1" applyFill="1"/>
    <xf numFmtId="0" fontId="0" fillId="2" borderId="0" xfId="0" applyFill="1" applyAlignment="1">
      <alignment horizontal="center" wrapText="1"/>
    </xf>
    <xf numFmtId="0" fontId="0" fillId="2" borderId="0" xfId="0" applyFill="1" applyAlignment="1">
      <alignment vertical="center"/>
    </xf>
    <xf numFmtId="2" fontId="0" fillId="0" borderId="0" xfId="0" applyNumberFormat="1"/>
    <xf numFmtId="164" fontId="0" fillId="0" borderId="0" xfId="0" applyNumberFormat="1"/>
    <xf numFmtId="0" fontId="0" fillId="0" borderId="0" xfId="0" applyAlignment="1">
      <alignment horizontal="center" vertical="center"/>
    </xf>
    <xf numFmtId="9" fontId="4" fillId="0" borderId="0" xfId="1" applyFont="1"/>
    <xf numFmtId="0" fontId="0" fillId="0" borderId="5" xfId="0" applyBorder="1"/>
    <xf numFmtId="0" fontId="0" fillId="0" borderId="8" xfId="0" applyBorder="1"/>
    <xf numFmtId="2" fontId="4" fillId="0" borderId="0" xfId="0" applyNumberFormat="1" applyFont="1" applyAlignment="1">
      <alignment horizontal="center" vertical="center"/>
    </xf>
    <xf numFmtId="0" fontId="6" fillId="0" borderId="0" xfId="0" applyFont="1"/>
    <xf numFmtId="0" fontId="0" fillId="0" borderId="0" xfId="0" applyAlignment="1">
      <alignment horizontal="center"/>
    </xf>
    <xf numFmtId="0" fontId="7" fillId="0" borderId="0" xfId="0" applyFont="1" applyAlignment="1">
      <alignment horizontal="right" vertical="center"/>
    </xf>
    <xf numFmtId="0" fontId="0" fillId="0" borderId="0" xfId="0" applyAlignment="1">
      <alignment vertical="center"/>
    </xf>
    <xf numFmtId="0" fontId="4" fillId="0" borderId="0" xfId="0" applyFont="1"/>
    <xf numFmtId="0" fontId="7" fillId="0" borderId="0" xfId="0" applyFont="1" applyAlignment="1">
      <alignment horizontal="right" wrapText="1"/>
    </xf>
    <xf numFmtId="0" fontId="7" fillId="0" borderId="0" xfId="0" applyFont="1" applyAlignment="1">
      <alignment horizontal="right"/>
    </xf>
    <xf numFmtId="0" fontId="8" fillId="0" borderId="0" xfId="0" applyFont="1" applyAlignment="1">
      <alignment horizontal="right" vertical="center"/>
    </xf>
    <xf numFmtId="0" fontId="9" fillId="0" borderId="0" xfId="0" applyFont="1" applyAlignment="1">
      <alignment horizontal="left" vertical="center" wrapText="1"/>
    </xf>
    <xf numFmtId="0" fontId="7" fillId="0" borderId="0" xfId="0" applyFont="1" applyAlignment="1">
      <alignment horizontal="right" vertical="center" wrapText="1"/>
    </xf>
    <xf numFmtId="164" fontId="0" fillId="0" borderId="0" xfId="0" applyNumberFormat="1" applyAlignment="1">
      <alignment horizontal="center" vertical="center"/>
    </xf>
    <xf numFmtId="0" fontId="9" fillId="0" borderId="0" xfId="0" applyFont="1" applyAlignment="1">
      <alignment horizontal="left" vertical="top" wrapText="1"/>
    </xf>
    <xf numFmtId="9" fontId="0" fillId="0" borderId="0" xfId="0" applyNumberFormat="1"/>
    <xf numFmtId="0" fontId="0" fillId="2" borderId="2" xfId="0" applyFill="1" applyBorder="1" applyAlignment="1">
      <alignment vertical="center"/>
    </xf>
    <xf numFmtId="0" fontId="0" fillId="0" borderId="4" xfId="0" applyBorder="1"/>
    <xf numFmtId="0" fontId="0" fillId="2" borderId="0" xfId="0" applyFill="1" applyAlignment="1">
      <alignment horizontal="center" vertical="center"/>
    </xf>
    <xf numFmtId="0" fontId="0" fillId="0" borderId="7" xfId="0" applyBorder="1"/>
    <xf numFmtId="0" fontId="10" fillId="2" borderId="0" xfId="0" applyFont="1" applyFill="1" applyAlignment="1">
      <alignment vertical="center"/>
    </xf>
    <xf numFmtId="0" fontId="15" fillId="2" borderId="0" xfId="0" applyFont="1" applyFill="1" applyAlignment="1">
      <alignment vertical="center"/>
    </xf>
    <xf numFmtId="0" fontId="17" fillId="2" borderId="0" xfId="0" applyFont="1" applyFill="1" applyAlignment="1">
      <alignment vertical="center"/>
    </xf>
    <xf numFmtId="0" fontId="17" fillId="0" borderId="0" xfId="0" applyFont="1"/>
    <xf numFmtId="0" fontId="20" fillId="2" borderId="0" xfId="0" applyFont="1" applyFill="1" applyAlignment="1">
      <alignment vertical="center"/>
    </xf>
    <xf numFmtId="0" fontId="17" fillId="2" borderId="0" xfId="0" applyFont="1" applyFill="1"/>
    <xf numFmtId="0" fontId="17" fillId="2" borderId="1" xfId="0" applyFont="1" applyFill="1" applyBorder="1"/>
    <xf numFmtId="0" fontId="17" fillId="2" borderId="2" xfId="0" applyFont="1" applyFill="1" applyBorder="1"/>
    <xf numFmtId="0" fontId="17" fillId="2" borderId="3" xfId="0" applyFont="1" applyFill="1" applyBorder="1"/>
    <xf numFmtId="0" fontId="17" fillId="2" borderId="4" xfId="0" applyFont="1" applyFill="1" applyBorder="1"/>
    <xf numFmtId="0" fontId="17" fillId="2" borderId="5" xfId="0" applyFont="1" applyFill="1" applyBorder="1"/>
    <xf numFmtId="49" fontId="21" fillId="2" borderId="0" xfId="0" applyNumberFormat="1" applyFont="1" applyFill="1" applyAlignment="1">
      <alignment vertical="center"/>
    </xf>
    <xf numFmtId="0" fontId="21" fillId="2" borderId="0" xfId="0" applyFont="1" applyFill="1" applyAlignment="1">
      <alignment vertical="center"/>
    </xf>
    <xf numFmtId="0" fontId="17" fillId="2" borderId="6" xfId="0" applyFont="1" applyFill="1" applyBorder="1"/>
    <xf numFmtId="0" fontId="17" fillId="2" borderId="7" xfId="0" applyFont="1" applyFill="1" applyBorder="1"/>
    <xf numFmtId="0" fontId="17" fillId="2" borderId="8" xfId="0" applyFont="1" applyFill="1" applyBorder="1"/>
    <xf numFmtId="0" fontId="17" fillId="2" borderId="0" xfId="0" applyFont="1" applyFill="1" applyAlignment="1">
      <alignment wrapText="1"/>
    </xf>
    <xf numFmtId="0" fontId="17" fillId="2" borderId="0" xfId="0" applyFont="1" applyFill="1" applyAlignment="1">
      <alignment horizontal="center" wrapText="1"/>
    </xf>
    <xf numFmtId="0" fontId="18" fillId="2" borderId="0" xfId="0" applyFont="1" applyFill="1"/>
    <xf numFmtId="0" fontId="17" fillId="2" borderId="7" xfId="0" applyFont="1" applyFill="1" applyBorder="1" applyAlignment="1">
      <alignment vertical="center"/>
    </xf>
    <xf numFmtId="2" fontId="17" fillId="2" borderId="0" xfId="0" applyNumberFormat="1" applyFont="1" applyFill="1"/>
    <xf numFmtId="2" fontId="17" fillId="2" borderId="7" xfId="0" applyNumberFormat="1" applyFont="1" applyFill="1" applyBorder="1"/>
    <xf numFmtId="9" fontId="16" fillId="2" borderId="0" xfId="0" applyNumberFormat="1" applyFont="1" applyFill="1"/>
    <xf numFmtId="9" fontId="16" fillId="2" borderId="0" xfId="1" applyFont="1" applyFill="1" applyBorder="1"/>
    <xf numFmtId="0" fontId="17" fillId="31" borderId="0" xfId="0" applyFont="1" applyFill="1"/>
    <xf numFmtId="2" fontId="17" fillId="31" borderId="5" xfId="0" applyNumberFormat="1" applyFont="1" applyFill="1" applyBorder="1" applyAlignment="1">
      <alignment horizontal="center"/>
    </xf>
    <xf numFmtId="164" fontId="17" fillId="31" borderId="5" xfId="0" applyNumberFormat="1" applyFont="1" applyFill="1" applyBorder="1" applyAlignment="1">
      <alignment horizontal="center"/>
    </xf>
    <xf numFmtId="2" fontId="17" fillId="31" borderId="0" xfId="0" applyNumberFormat="1" applyFont="1" applyFill="1"/>
    <xf numFmtId="2" fontId="17" fillId="31" borderId="5" xfId="0" applyNumberFormat="1" applyFont="1" applyFill="1" applyBorder="1" applyAlignment="1">
      <alignment horizontal="center" vertical="center"/>
    </xf>
    <xf numFmtId="0" fontId="21" fillId="0" borderId="0" xfId="0" applyFont="1" applyAlignment="1">
      <alignment vertical="center"/>
    </xf>
    <xf numFmtId="49" fontId="21" fillId="2" borderId="0" xfId="0" applyNumberFormat="1" applyFont="1" applyFill="1" applyAlignment="1">
      <alignment horizontal="right" vertical="center"/>
    </xf>
    <xf numFmtId="0" fontId="21" fillId="2" borderId="0" xfId="0" applyFont="1" applyFill="1" applyAlignment="1">
      <alignment vertical="center" wrapText="1"/>
    </xf>
    <xf numFmtId="0" fontId="19" fillId="0" borderId="0" xfId="0" applyFont="1" applyAlignment="1">
      <alignment vertical="center"/>
    </xf>
    <xf numFmtId="0" fontId="20" fillId="0" borderId="0" xfId="0" applyFont="1"/>
    <xf numFmtId="0" fontId="19" fillId="2" borderId="5" xfId="0" applyFont="1" applyFill="1" applyBorder="1" applyAlignment="1">
      <alignment vertical="center"/>
    </xf>
    <xf numFmtId="0" fontId="16" fillId="2" borderId="0" xfId="0" applyFont="1" applyFill="1" applyAlignment="1">
      <alignment horizontal="left" vertical="center"/>
    </xf>
    <xf numFmtId="0" fontId="13" fillId="0" borderId="0" xfId="0" applyFont="1" applyAlignment="1">
      <alignment wrapText="1"/>
    </xf>
    <xf numFmtId="0" fontId="2" fillId="0" borderId="0" xfId="0" applyFont="1"/>
    <xf numFmtId="0" fontId="16" fillId="0" borderId="0" xfId="0" applyFont="1"/>
    <xf numFmtId="0" fontId="17" fillId="0" borderId="0" xfId="0" applyFont="1" applyAlignment="1">
      <alignment horizontal="center" wrapText="1"/>
    </xf>
    <xf numFmtId="0" fontId="17" fillId="0" borderId="21" xfId="0" applyFont="1" applyBorder="1" applyAlignment="1">
      <alignment wrapText="1"/>
    </xf>
    <xf numFmtId="0" fontId="17" fillId="0" borderId="0" xfId="0" applyFont="1" applyAlignment="1">
      <alignment wrapText="1"/>
    </xf>
    <xf numFmtId="0" fontId="16" fillId="0" borderId="0" xfId="0" applyFont="1" applyAlignment="1">
      <alignment wrapText="1"/>
    </xf>
    <xf numFmtId="0" fontId="17" fillId="0" borderId="26" xfId="2" applyFont="1" applyBorder="1" applyAlignment="1">
      <alignment horizontal="left" vertical="center"/>
    </xf>
    <xf numFmtId="0" fontId="22" fillId="0" borderId="9" xfId="0" applyFont="1" applyBorder="1"/>
    <xf numFmtId="2" fontId="22" fillId="0" borderId="9" xfId="0" applyNumberFormat="1" applyFont="1" applyBorder="1" applyAlignment="1">
      <alignment horizontal="center"/>
    </xf>
    <xf numFmtId="165" fontId="22" fillId="0" borderId="9" xfId="0" applyNumberFormat="1" applyFont="1" applyBorder="1" applyAlignment="1">
      <alignment horizontal="center"/>
    </xf>
    <xf numFmtId="165" fontId="22" fillId="0" borderId="9" xfId="0" applyNumberFormat="1" applyFont="1" applyBorder="1" applyAlignment="1">
      <alignment horizontal="left"/>
    </xf>
    <xf numFmtId="2" fontId="22" fillId="0" borderId="9" xfId="0" applyNumberFormat="1" applyFont="1" applyBorder="1" applyAlignment="1">
      <alignment horizontal="left"/>
    </xf>
    <xf numFmtId="0" fontId="17" fillId="2" borderId="17" xfId="0" applyFont="1" applyFill="1" applyBorder="1"/>
    <xf numFmtId="2" fontId="17" fillId="2" borderId="21" xfId="0" applyNumberFormat="1" applyFont="1" applyFill="1" applyBorder="1"/>
    <xf numFmtId="0" fontId="22" fillId="0" borderId="0" xfId="0" applyFont="1"/>
    <xf numFmtId="0" fontId="17" fillId="0" borderId="9" xfId="2" applyFont="1" applyBorder="1" applyAlignment="1">
      <alignment horizontal="left" vertical="center"/>
    </xf>
    <xf numFmtId="0" fontId="17" fillId="0" borderId="9" xfId="0" applyFont="1" applyBorder="1" applyAlignment="1">
      <alignment horizontal="left" vertical="center"/>
    </xf>
    <xf numFmtId="2" fontId="17" fillId="0" borderId="9" xfId="0" applyNumberFormat="1" applyFont="1" applyBorder="1" applyAlignment="1">
      <alignment horizontal="center"/>
    </xf>
    <xf numFmtId="2" fontId="17" fillId="0" borderId="25" xfId="0" applyNumberFormat="1" applyFont="1" applyBorder="1" applyAlignment="1">
      <alignment horizontal="center"/>
    </xf>
    <xf numFmtId="0" fontId="17" fillId="0" borderId="25" xfId="0" applyFont="1" applyBorder="1" applyAlignment="1">
      <alignment horizontal="left"/>
    </xf>
    <xf numFmtId="2" fontId="17" fillId="0" borderId="0" xfId="0" applyNumberFormat="1" applyFont="1"/>
    <xf numFmtId="0" fontId="17" fillId="0" borderId="9" xfId="0" applyFont="1" applyBorder="1"/>
    <xf numFmtId="165" fontId="17" fillId="0" borderId="9" xfId="0" applyNumberFormat="1" applyFont="1" applyBorder="1" applyAlignment="1">
      <alignment horizontal="left"/>
    </xf>
    <xf numFmtId="2" fontId="17" fillId="2" borderId="21" xfId="0" applyNumberFormat="1" applyFont="1" applyFill="1" applyBorder="1" applyProtection="1">
      <protection locked="0"/>
    </xf>
    <xf numFmtId="0" fontId="16" fillId="0" borderId="20" xfId="0" applyFont="1" applyBorder="1"/>
    <xf numFmtId="0" fontId="16" fillId="0" borderId="28" xfId="0" applyFont="1" applyBorder="1"/>
    <xf numFmtId="0" fontId="16" fillId="0" borderId="18" xfId="0" applyFont="1" applyBorder="1"/>
    <xf numFmtId="0" fontId="17" fillId="0" borderId="12" xfId="0" applyFont="1" applyBorder="1"/>
    <xf numFmtId="0" fontId="17" fillId="0" borderId="10" xfId="0" applyFont="1" applyBorder="1"/>
    <xf numFmtId="0" fontId="17" fillId="0" borderId="15" xfId="0" applyFont="1" applyBorder="1"/>
    <xf numFmtId="2" fontId="17" fillId="7" borderId="9" xfId="0" applyNumberFormat="1" applyFont="1" applyFill="1" applyBorder="1" applyAlignment="1">
      <alignment horizontal="center"/>
    </xf>
    <xf numFmtId="2" fontId="17" fillId="7" borderId="9" xfId="0" applyNumberFormat="1" applyFont="1" applyFill="1" applyBorder="1" applyAlignment="1">
      <alignment horizontal="left"/>
    </xf>
    <xf numFmtId="165" fontId="17" fillId="0" borderId="25" xfId="0" applyNumberFormat="1" applyFont="1" applyBorder="1" applyAlignment="1">
      <alignment horizontal="left"/>
    </xf>
    <xf numFmtId="2" fontId="17" fillId="0" borderId="25" xfId="0" applyNumberFormat="1" applyFont="1" applyBorder="1" applyAlignment="1">
      <alignment horizontal="left"/>
    </xf>
    <xf numFmtId="165" fontId="17" fillId="0" borderId="0" xfId="0" applyNumberFormat="1" applyFont="1" applyAlignment="1">
      <alignment horizontal="center"/>
    </xf>
    <xf numFmtId="165" fontId="17" fillId="0" borderId="0" xfId="0" applyNumberFormat="1" applyFont="1" applyAlignment="1">
      <alignment horizontal="left"/>
    </xf>
    <xf numFmtId="0" fontId="17" fillId="0" borderId="0" xfId="0" applyFont="1" applyAlignment="1">
      <alignment horizontal="center"/>
    </xf>
    <xf numFmtId="0" fontId="16" fillId="2" borderId="7" xfId="0" applyFont="1" applyFill="1" applyBorder="1" applyAlignment="1">
      <alignment horizontal="left" vertical="center"/>
    </xf>
    <xf numFmtId="2" fontId="17" fillId="2" borderId="5" xfId="0" applyNumberFormat="1" applyFont="1" applyFill="1" applyBorder="1" applyAlignment="1">
      <alignment horizontal="center"/>
    </xf>
    <xf numFmtId="2" fontId="0" fillId="0" borderId="0" xfId="0" applyNumberFormat="1" applyAlignment="1">
      <alignment wrapText="1"/>
    </xf>
    <xf numFmtId="2" fontId="17" fillId="0" borderId="0" xfId="0" applyNumberFormat="1" applyFont="1" applyAlignment="1">
      <alignment vertical="center"/>
    </xf>
    <xf numFmtId="2" fontId="17" fillId="0" borderId="5" xfId="0" applyNumberFormat="1" applyFont="1" applyBorder="1"/>
    <xf numFmtId="2" fontId="17" fillId="0" borderId="8" xfId="0" applyNumberFormat="1" applyFont="1" applyBorder="1"/>
    <xf numFmtId="0" fontId="16" fillId="0" borderId="39" xfId="0" applyFont="1" applyBorder="1"/>
    <xf numFmtId="0" fontId="16" fillId="0" borderId="29" xfId="0" applyFont="1" applyBorder="1" applyAlignment="1">
      <alignment wrapText="1"/>
    </xf>
    <xf numFmtId="0" fontId="16" fillId="0" borderId="40" xfId="0" applyFont="1" applyBorder="1"/>
    <xf numFmtId="0" fontId="17" fillId="0" borderId="30" xfId="0" applyFont="1" applyBorder="1"/>
    <xf numFmtId="0" fontId="17" fillId="0" borderId="31" xfId="0" applyFont="1" applyBorder="1"/>
    <xf numFmtId="0" fontId="16" fillId="0" borderId="27" xfId="0" applyFont="1" applyBorder="1" applyAlignment="1">
      <alignment wrapText="1"/>
    </xf>
    <xf numFmtId="0" fontId="17" fillId="0" borderId="21" xfId="0" applyFont="1" applyBorder="1"/>
    <xf numFmtId="0" fontId="17" fillId="0" borderId="38" xfId="0" applyFont="1" applyBorder="1"/>
    <xf numFmtId="2" fontId="17" fillId="0" borderId="21" xfId="0" applyNumberFormat="1" applyFont="1" applyBorder="1"/>
    <xf numFmtId="2" fontId="17" fillId="0" borderId="38" xfId="0" applyNumberFormat="1" applyFont="1" applyBorder="1"/>
    <xf numFmtId="0" fontId="17" fillId="0" borderId="5" xfId="0" applyFont="1" applyBorder="1"/>
    <xf numFmtId="0" fontId="17" fillId="0" borderId="8" xfId="0" applyFont="1" applyBorder="1"/>
    <xf numFmtId="0" fontId="17" fillId="0" borderId="43" xfId="0" applyFont="1" applyBorder="1" applyAlignment="1">
      <alignment wrapText="1"/>
    </xf>
    <xf numFmtId="0" fontId="16" fillId="0" borderId="44" xfId="0" applyFont="1" applyBorder="1" applyAlignment="1">
      <alignment wrapText="1"/>
    </xf>
    <xf numFmtId="0" fontId="16" fillId="0" borderId="42" xfId="0" applyFont="1" applyBorder="1" applyAlignment="1">
      <alignment wrapText="1"/>
    </xf>
    <xf numFmtId="0" fontId="17" fillId="0" borderId="17" xfId="0" applyFont="1" applyBorder="1"/>
    <xf numFmtId="0" fontId="17" fillId="0" borderId="7" xfId="0" applyFont="1" applyBorder="1" applyAlignment="1">
      <alignment wrapText="1"/>
    </xf>
    <xf numFmtId="2" fontId="22" fillId="2" borderId="28" xfId="0" applyNumberFormat="1" applyFont="1" applyFill="1" applyBorder="1" applyAlignment="1">
      <alignment horizontal="left"/>
    </xf>
    <xf numFmtId="2" fontId="22" fillId="2" borderId="9" xfId="0" applyNumberFormat="1" applyFont="1" applyFill="1" applyBorder="1" applyAlignment="1">
      <alignment horizontal="left"/>
    </xf>
    <xf numFmtId="2" fontId="22" fillId="2" borderId="25" xfId="0" applyNumberFormat="1" applyFont="1" applyFill="1" applyBorder="1" applyAlignment="1">
      <alignment horizontal="left"/>
    </xf>
    <xf numFmtId="0" fontId="17" fillId="0" borderId="0" xfId="0" applyFont="1" applyAlignment="1">
      <alignment horizontal="left" vertical="center"/>
    </xf>
    <xf numFmtId="2" fontId="17" fillId="37" borderId="9" xfId="0" applyNumberFormat="1" applyFont="1" applyFill="1" applyBorder="1" applyAlignment="1">
      <alignment horizontal="center"/>
    </xf>
    <xf numFmtId="2" fontId="22" fillId="37" borderId="9" xfId="0" applyNumberFormat="1" applyFont="1" applyFill="1" applyBorder="1" applyAlignment="1">
      <alignment horizontal="center"/>
    </xf>
    <xf numFmtId="2" fontId="17" fillId="37" borderId="9" xfId="0" applyNumberFormat="1" applyFont="1" applyFill="1" applyBorder="1" applyAlignment="1">
      <alignment horizontal="left"/>
    </xf>
    <xf numFmtId="2" fontId="22" fillId="37" borderId="9" xfId="0" applyNumberFormat="1" applyFont="1" applyFill="1" applyBorder="1" applyAlignment="1">
      <alignment horizontal="left"/>
    </xf>
    <xf numFmtId="0" fontId="21" fillId="2" borderId="0" xfId="0" applyFont="1" applyFill="1" applyAlignment="1">
      <alignment horizontal="left" vertical="center"/>
    </xf>
    <xf numFmtId="0" fontId="21" fillId="2" borderId="0" xfId="0" applyFont="1" applyFill="1" applyAlignment="1">
      <alignment horizontal="left" vertical="center" wrapText="1"/>
    </xf>
    <xf numFmtId="0" fontId="21" fillId="2" borderId="0" xfId="0" applyFont="1" applyFill="1" applyAlignment="1">
      <alignment horizontal="center" vertical="center"/>
    </xf>
    <xf numFmtId="0" fontId="21" fillId="2" borderId="0" xfId="0" applyFont="1" applyFill="1" applyAlignment="1">
      <alignment horizontal="center" vertical="center" wrapText="1"/>
    </xf>
    <xf numFmtId="0" fontId="15" fillId="2" borderId="0" xfId="0" applyFont="1" applyFill="1" applyAlignment="1">
      <alignment horizontal="left" vertical="center"/>
    </xf>
    <xf numFmtId="165" fontId="22" fillId="0" borderId="25" xfId="0" applyNumberFormat="1" applyFont="1" applyBorder="1" applyAlignment="1">
      <alignment horizontal="center"/>
    </xf>
    <xf numFmtId="165" fontId="22" fillId="0" borderId="25" xfId="0" applyNumberFormat="1" applyFont="1" applyBorder="1" applyAlignment="1">
      <alignment horizontal="left"/>
    </xf>
    <xf numFmtId="0" fontId="17" fillId="0" borderId="25" xfId="0" applyFont="1" applyBorder="1" applyAlignment="1">
      <alignment horizontal="left" vertical="center"/>
    </xf>
    <xf numFmtId="0" fontId="17" fillId="0" borderId="25" xfId="0" applyFont="1" applyBorder="1"/>
    <xf numFmtId="2" fontId="22" fillId="2" borderId="21" xfId="0" applyNumberFormat="1" applyFont="1" applyFill="1" applyBorder="1" applyAlignment="1">
      <alignment horizontal="left"/>
    </xf>
    <xf numFmtId="2" fontId="17" fillId="2" borderId="9" xfId="0" applyNumberFormat="1" applyFont="1" applyFill="1" applyBorder="1"/>
    <xf numFmtId="0" fontId="17" fillId="0" borderId="26" xfId="0" applyFont="1" applyBorder="1"/>
    <xf numFmtId="2" fontId="17" fillId="2" borderId="48" xfId="0" applyNumberFormat="1" applyFont="1" applyFill="1" applyBorder="1"/>
    <xf numFmtId="0" fontId="17" fillId="0" borderId="45" xfId="0" applyFont="1" applyBorder="1"/>
    <xf numFmtId="0" fontId="17" fillId="0" borderId="46" xfId="0" applyFont="1" applyBorder="1"/>
    <xf numFmtId="0" fontId="17" fillId="0" borderId="49" xfId="0" applyFont="1" applyBorder="1"/>
    <xf numFmtId="2" fontId="17" fillId="2" borderId="28" xfId="0" applyNumberFormat="1" applyFont="1" applyFill="1" applyBorder="1"/>
    <xf numFmtId="2" fontId="17" fillId="2" borderId="50" xfId="0" applyNumberFormat="1" applyFont="1" applyFill="1" applyBorder="1"/>
    <xf numFmtId="0" fontId="13" fillId="2" borderId="53" xfId="0" applyFont="1" applyFill="1" applyBorder="1"/>
    <xf numFmtId="0" fontId="13" fillId="2" borderId="29" xfId="0" applyFont="1" applyFill="1" applyBorder="1"/>
    <xf numFmtId="0" fontId="13" fillId="2" borderId="35" xfId="0" applyFont="1" applyFill="1" applyBorder="1"/>
    <xf numFmtId="0" fontId="17" fillId="0" borderId="43" xfId="0" applyFont="1" applyBorder="1"/>
    <xf numFmtId="2" fontId="17" fillId="2" borderId="44" xfId="0" applyNumberFormat="1" applyFont="1" applyFill="1" applyBorder="1"/>
    <xf numFmtId="2" fontId="17" fillId="2" borderId="47" xfId="0" applyNumberFormat="1" applyFont="1" applyFill="1" applyBorder="1"/>
    <xf numFmtId="2" fontId="0" fillId="2" borderId="9" xfId="0" applyNumberFormat="1" applyFill="1" applyBorder="1"/>
    <xf numFmtId="2" fontId="0" fillId="2" borderId="44" xfId="0" applyNumberFormat="1" applyFill="1" applyBorder="1"/>
    <xf numFmtId="2" fontId="0" fillId="2" borderId="47" xfId="0" applyNumberFormat="1" applyFill="1" applyBorder="1"/>
    <xf numFmtId="2" fontId="0" fillId="2" borderId="48" xfId="0" applyNumberFormat="1" applyFill="1" applyBorder="1"/>
    <xf numFmtId="2" fontId="0" fillId="2" borderId="46" xfId="0" applyNumberFormat="1" applyFill="1" applyBorder="1"/>
    <xf numFmtId="2" fontId="0" fillId="2" borderId="49" xfId="0" applyNumberFormat="1" applyFill="1" applyBorder="1"/>
    <xf numFmtId="2" fontId="17" fillId="2" borderId="43" xfId="0" applyNumberFormat="1" applyFont="1" applyFill="1" applyBorder="1"/>
    <xf numFmtId="2" fontId="17" fillId="2" borderId="26" xfId="0" applyNumberFormat="1" applyFont="1" applyFill="1" applyBorder="1"/>
    <xf numFmtId="2" fontId="17" fillId="2" borderId="20" xfId="0" applyNumberFormat="1" applyFont="1" applyFill="1" applyBorder="1"/>
    <xf numFmtId="2" fontId="17" fillId="2" borderId="12" xfId="0" applyNumberFormat="1" applyFont="1" applyFill="1" applyBorder="1"/>
    <xf numFmtId="0" fontId="17" fillId="0" borderId="54" xfId="0" applyFont="1" applyBorder="1"/>
    <xf numFmtId="2" fontId="17" fillId="2" borderId="40" xfId="0" applyNumberFormat="1" applyFont="1" applyFill="1" applyBorder="1"/>
    <xf numFmtId="0" fontId="13" fillId="2" borderId="32" xfId="0" applyFont="1" applyFill="1" applyBorder="1"/>
    <xf numFmtId="0" fontId="17" fillId="0" borderId="55" xfId="0" applyFont="1" applyBorder="1"/>
    <xf numFmtId="0" fontId="17" fillId="0" borderId="56" xfId="0" applyFont="1" applyBorder="1"/>
    <xf numFmtId="0" fontId="17" fillId="0" borderId="57" xfId="0" applyFont="1" applyBorder="1"/>
    <xf numFmtId="0" fontId="13" fillId="2" borderId="1" xfId="0" applyFont="1" applyFill="1" applyBorder="1"/>
    <xf numFmtId="0" fontId="17" fillId="0" borderId="58" xfId="0" applyFont="1" applyBorder="1"/>
    <xf numFmtId="2" fontId="17" fillId="2" borderId="59" xfId="0" applyNumberFormat="1" applyFont="1" applyFill="1" applyBorder="1"/>
    <xf numFmtId="2" fontId="0" fillId="2" borderId="59" xfId="0" applyNumberFormat="1" applyFill="1" applyBorder="1"/>
    <xf numFmtId="2" fontId="0" fillId="2" borderId="12" xfId="0" applyNumberFormat="1" applyFill="1" applyBorder="1"/>
    <xf numFmtId="2" fontId="0" fillId="2" borderId="43" xfId="0" applyNumberFormat="1" applyFill="1" applyBorder="1"/>
    <xf numFmtId="2" fontId="0" fillId="2" borderId="26" xfId="0" applyNumberFormat="1" applyFill="1" applyBorder="1"/>
    <xf numFmtId="2" fontId="0" fillId="2" borderId="54" xfId="0" applyNumberFormat="1" applyFill="1" applyBorder="1"/>
    <xf numFmtId="0" fontId="17" fillId="0" borderId="7" xfId="0" applyFont="1" applyBorder="1"/>
    <xf numFmtId="0" fontId="21" fillId="34" borderId="0" xfId="0" applyFont="1" applyFill="1" applyAlignment="1">
      <alignment horizontal="left" vertical="center"/>
    </xf>
    <xf numFmtId="0" fontId="21" fillId="31" borderId="0" xfId="0" applyFont="1" applyFill="1" applyAlignment="1">
      <alignment horizontal="left" vertical="center"/>
    </xf>
    <xf numFmtId="0" fontId="15" fillId="2" borderId="9" xfId="0" applyFont="1" applyFill="1" applyBorder="1" applyAlignment="1">
      <alignment horizontal="left" vertical="center" wrapText="1"/>
    </xf>
    <xf numFmtId="0" fontId="21" fillId="33" borderId="9" xfId="0" applyFont="1" applyFill="1" applyBorder="1" applyAlignment="1">
      <alignment horizontal="left" vertical="center" wrapText="1"/>
    </xf>
    <xf numFmtId="0" fontId="21" fillId="2" borderId="9" xfId="0" applyFont="1" applyFill="1" applyBorder="1" applyAlignment="1">
      <alignment horizontal="left" vertical="center" wrapText="1"/>
    </xf>
    <xf numFmtId="0" fontId="15" fillId="2" borderId="0" xfId="0" applyFont="1" applyFill="1" applyAlignment="1">
      <alignment vertical="center" wrapText="1"/>
    </xf>
    <xf numFmtId="0" fontId="15" fillId="2" borderId="0" xfId="0" applyFont="1" applyFill="1" applyAlignment="1">
      <alignment horizontal="left" vertical="center" wrapText="1"/>
    </xf>
    <xf numFmtId="0" fontId="21" fillId="7" borderId="0" xfId="0" applyFont="1" applyFill="1" applyAlignment="1">
      <alignment horizontal="left" vertical="center" wrapText="1"/>
    </xf>
    <xf numFmtId="0" fontId="21" fillId="5" borderId="0" xfId="0" applyFont="1" applyFill="1" applyAlignment="1">
      <alignment horizontal="left" vertical="center" wrapText="1"/>
    </xf>
    <xf numFmtId="0" fontId="21" fillId="20" borderId="0" xfId="0" applyFont="1" applyFill="1" applyAlignment="1">
      <alignment horizontal="left" vertical="center" wrapText="1"/>
    </xf>
    <xf numFmtId="0" fontId="21" fillId="8" borderId="0" xfId="0" applyFont="1" applyFill="1" applyAlignment="1">
      <alignment horizontal="left" vertical="center" wrapText="1"/>
    </xf>
    <xf numFmtId="0" fontId="21" fillId="6" borderId="0" xfId="0" applyFont="1" applyFill="1" applyAlignment="1">
      <alignment horizontal="left" vertical="center" wrapText="1"/>
    </xf>
    <xf numFmtId="0" fontId="21" fillId="21" borderId="0" xfId="0" applyFont="1" applyFill="1" applyAlignment="1">
      <alignment horizontal="left" vertical="center" wrapText="1"/>
    </xf>
    <xf numFmtId="0" fontId="21" fillId="9" borderId="0" xfId="0" applyFont="1" applyFill="1" applyAlignment="1">
      <alignment horizontal="left" vertical="center" wrapText="1"/>
    </xf>
    <xf numFmtId="0" fontId="21" fillId="12" borderId="0" xfId="0" applyFont="1" applyFill="1" applyAlignment="1">
      <alignment horizontal="left" vertical="center" wrapText="1"/>
    </xf>
    <xf numFmtId="0" fontId="21" fillId="22" borderId="0" xfId="0" applyFont="1" applyFill="1" applyAlignment="1">
      <alignment horizontal="left" vertical="center" wrapText="1"/>
    </xf>
    <xf numFmtId="0" fontId="21" fillId="10" borderId="0" xfId="0" applyFont="1" applyFill="1" applyAlignment="1">
      <alignment horizontal="left" vertical="center" wrapText="1"/>
    </xf>
    <xf numFmtId="0" fontId="21" fillId="13" borderId="0" xfId="0" applyFont="1" applyFill="1" applyAlignment="1">
      <alignment horizontal="left" vertical="center" wrapText="1"/>
    </xf>
    <xf numFmtId="0" fontId="21" fillId="11" borderId="0" xfId="0" applyFont="1" applyFill="1" applyAlignment="1">
      <alignment horizontal="left" vertical="center" wrapText="1"/>
    </xf>
    <xf numFmtId="0" fontId="21" fillId="4" borderId="0" xfId="0" applyFont="1" applyFill="1" applyAlignment="1">
      <alignment vertical="center"/>
    </xf>
    <xf numFmtId="0" fontId="21" fillId="18" borderId="0" xfId="0" applyFont="1" applyFill="1" applyAlignment="1">
      <alignment horizontal="left" vertical="center" wrapText="1"/>
    </xf>
    <xf numFmtId="0" fontId="21" fillId="19" borderId="0" xfId="0" applyFont="1" applyFill="1" applyAlignment="1">
      <alignment horizontal="left" vertical="center" wrapText="1"/>
    </xf>
    <xf numFmtId="0" fontId="21" fillId="14" borderId="0" xfId="0" applyFont="1" applyFill="1" applyAlignment="1">
      <alignment horizontal="left" vertical="center" wrapText="1"/>
    </xf>
    <xf numFmtId="0" fontId="21" fillId="23" borderId="0" xfId="0" applyFont="1" applyFill="1" applyAlignment="1">
      <alignment horizontal="left" vertical="center" wrapText="1"/>
    </xf>
    <xf numFmtId="0" fontId="21" fillId="15" borderId="0" xfId="0" applyFont="1" applyFill="1" applyAlignment="1">
      <alignment horizontal="left" vertical="center" wrapText="1"/>
    </xf>
    <xf numFmtId="0" fontId="21" fillId="24" borderId="0" xfId="0" applyFont="1" applyFill="1" applyAlignment="1">
      <alignment horizontal="left" vertical="center" wrapText="1"/>
    </xf>
    <xf numFmtId="0" fontId="21" fillId="16" borderId="0" xfId="0" applyFont="1" applyFill="1" applyAlignment="1">
      <alignment horizontal="left" vertical="center" wrapText="1"/>
    </xf>
    <xf numFmtId="0" fontId="21" fillId="25" borderId="0" xfId="0" applyFont="1" applyFill="1" applyAlignment="1">
      <alignment horizontal="left" vertical="center" wrapText="1"/>
    </xf>
    <xf numFmtId="0" fontId="21" fillId="17" borderId="0" xfId="0" applyFont="1" applyFill="1" applyAlignment="1">
      <alignment horizontal="left" vertical="center" wrapText="1"/>
    </xf>
    <xf numFmtId="0" fontId="21" fillId="26" borderId="0" xfId="0" applyFont="1" applyFill="1" applyAlignment="1">
      <alignment horizontal="left" vertical="center" wrapText="1"/>
    </xf>
    <xf numFmtId="0" fontId="21" fillId="27" borderId="0" xfId="0" applyFont="1" applyFill="1" applyAlignment="1">
      <alignment horizontal="left" vertical="center" wrapText="1"/>
    </xf>
    <xf numFmtId="0" fontId="21" fillId="2" borderId="17" xfId="0" applyFont="1" applyFill="1" applyBorder="1" applyAlignment="1">
      <alignment horizontal="left" vertical="center" wrapText="1"/>
    </xf>
    <xf numFmtId="0" fontId="21" fillId="28" borderId="0" xfId="0" applyFont="1" applyFill="1" applyAlignment="1">
      <alignment horizontal="left" vertical="center" wrapText="1"/>
    </xf>
    <xf numFmtId="0" fontId="21" fillId="29" borderId="0" xfId="0" applyFont="1" applyFill="1" applyAlignment="1">
      <alignment horizontal="left" vertical="center" wrapText="1"/>
    </xf>
    <xf numFmtId="0" fontId="21" fillId="30" borderId="0" xfId="0" applyFont="1" applyFill="1" applyAlignment="1">
      <alignment horizontal="left" vertical="center" wrapText="1"/>
    </xf>
    <xf numFmtId="0" fontId="6" fillId="2" borderId="0" xfId="0" applyFont="1" applyFill="1"/>
    <xf numFmtId="0" fontId="21" fillId="2" borderId="0" xfId="0" applyFont="1" applyFill="1"/>
    <xf numFmtId="0" fontId="23" fillId="2" borderId="0" xfId="0" applyFont="1" applyFill="1" applyAlignment="1">
      <alignment horizontal="left" vertical="top" indent="2"/>
    </xf>
    <xf numFmtId="0" fontId="21" fillId="0" borderId="0" xfId="0" applyFont="1"/>
    <xf numFmtId="0" fontId="15" fillId="2" borderId="0" xfId="0" applyFont="1" applyFill="1"/>
    <xf numFmtId="0" fontId="21" fillId="2" borderId="0" xfId="0" applyFont="1" applyFill="1" applyAlignment="1">
      <alignment horizontal="center"/>
    </xf>
    <xf numFmtId="0" fontId="15" fillId="2" borderId="9" xfId="0" applyFont="1" applyFill="1" applyBorder="1" applyProtection="1">
      <protection locked="0"/>
    </xf>
    <xf numFmtId="0" fontId="21" fillId="2" borderId="4" xfId="0" applyFont="1" applyFill="1" applyBorder="1"/>
    <xf numFmtId="0" fontId="15" fillId="2" borderId="0" xfId="0" applyFont="1" applyFill="1" applyAlignment="1">
      <alignment horizontal="center" vertical="center" wrapText="1"/>
    </xf>
    <xf numFmtId="0" fontId="21" fillId="2" borderId="5" xfId="0" applyFont="1" applyFill="1" applyBorder="1"/>
    <xf numFmtId="0" fontId="27" fillId="2" borderId="0" xfId="0" applyFont="1" applyFill="1" applyAlignment="1">
      <alignment horizontal="left" vertical="top" wrapText="1"/>
    </xf>
    <xf numFmtId="0" fontId="27" fillId="2" borderId="0" xfId="0" applyFont="1" applyFill="1" applyAlignment="1">
      <alignment horizontal="left" vertical="center" wrapText="1"/>
    </xf>
    <xf numFmtId="0" fontId="21" fillId="34" borderId="0" xfId="0" applyFont="1" applyFill="1" applyAlignment="1" applyProtection="1">
      <alignment horizontal="center" vertical="center"/>
      <protection locked="0"/>
    </xf>
    <xf numFmtId="0" fontId="21" fillId="2" borderId="0" xfId="0" applyFont="1" applyFill="1" applyAlignment="1" applyProtection="1">
      <alignment horizontal="center" vertical="center"/>
      <protection locked="0"/>
    </xf>
    <xf numFmtId="0" fontId="21" fillId="2" borderId="0" xfId="0" applyFont="1" applyFill="1" applyAlignment="1">
      <alignment horizontal="right" vertical="center"/>
    </xf>
    <xf numFmtId="0" fontId="21" fillId="0" borderId="0" xfId="0" applyFont="1" applyAlignment="1">
      <alignment horizontal="center" vertical="center"/>
    </xf>
    <xf numFmtId="0" fontId="29" fillId="2" borderId="0" xfId="0" applyFont="1" applyFill="1" applyAlignment="1">
      <alignment vertical="center"/>
    </xf>
    <xf numFmtId="0" fontId="21" fillId="31" borderId="0" xfId="0" applyFont="1" applyFill="1" applyAlignment="1">
      <alignment horizontal="center" vertical="center"/>
    </xf>
    <xf numFmtId="0" fontId="21" fillId="2" borderId="0" xfId="0" applyFont="1" applyFill="1" applyAlignment="1">
      <alignment horizontal="right" vertical="center" wrapText="1"/>
    </xf>
    <xf numFmtId="1" fontId="15" fillId="2" borderId="0" xfId="0" applyNumberFormat="1" applyFont="1" applyFill="1" applyAlignment="1">
      <alignment horizontal="center" vertical="center"/>
    </xf>
    <xf numFmtId="0" fontId="15" fillId="2" borderId="0" xfId="0" applyFont="1" applyFill="1" applyAlignment="1">
      <alignment horizontal="right" vertical="center"/>
    </xf>
    <xf numFmtId="0" fontId="21" fillId="2" borderId="19" xfId="0" applyFont="1" applyFill="1" applyBorder="1" applyAlignment="1">
      <alignment vertical="center"/>
    </xf>
    <xf numFmtId="0" fontId="15" fillId="2" borderId="19" xfId="0" applyFont="1" applyFill="1" applyBorder="1" applyAlignment="1">
      <alignment horizontal="left" vertical="center" wrapText="1"/>
    </xf>
    <xf numFmtId="1" fontId="15" fillId="2" borderId="19" xfId="0" applyNumberFormat="1" applyFont="1" applyFill="1" applyBorder="1" applyAlignment="1">
      <alignment horizontal="center" vertical="center"/>
    </xf>
    <xf numFmtId="0" fontId="15" fillId="2" borderId="19" xfId="0" applyFont="1" applyFill="1" applyBorder="1" applyAlignment="1">
      <alignment horizontal="right" vertical="center"/>
    </xf>
    <xf numFmtId="1" fontId="15" fillId="31" borderId="0" xfId="0" applyNumberFormat="1" applyFont="1" applyFill="1" applyAlignment="1" applyProtection="1">
      <alignment horizontal="center" vertical="center"/>
      <protection locked="0"/>
    </xf>
    <xf numFmtId="0" fontId="21" fillId="0" borderId="7" xfId="0" applyFont="1" applyBorder="1"/>
    <xf numFmtId="0" fontId="21" fillId="0" borderId="8" xfId="0" applyFont="1" applyBorder="1"/>
    <xf numFmtId="0" fontId="27" fillId="2" borderId="0" xfId="0" applyFont="1" applyFill="1" applyAlignment="1">
      <alignment vertical="center" wrapText="1"/>
    </xf>
    <xf numFmtId="0" fontId="27" fillId="2" borderId="0" xfId="0" applyFont="1" applyFill="1" applyAlignment="1">
      <alignment vertical="top" wrapText="1"/>
    </xf>
    <xf numFmtId="0" fontId="21" fillId="0" borderId="7" xfId="0" applyFont="1" applyBorder="1" applyAlignment="1">
      <alignment horizontal="center" vertical="center"/>
    </xf>
    <xf numFmtId="0" fontId="21" fillId="34" borderId="0" xfId="0" applyFont="1" applyFill="1" applyAlignment="1" applyProtection="1">
      <alignment horizontal="center" vertical="center" wrapText="1"/>
      <protection locked="0"/>
    </xf>
    <xf numFmtId="0" fontId="21" fillId="2" borderId="17" xfId="0" applyFont="1" applyFill="1" applyBorder="1" applyAlignment="1">
      <alignment vertical="center"/>
    </xf>
    <xf numFmtId="0" fontId="21" fillId="2" borderId="14" xfId="0" applyFont="1" applyFill="1" applyBorder="1" applyAlignment="1">
      <alignment vertical="center"/>
    </xf>
    <xf numFmtId="0" fontId="21" fillId="34" borderId="0" xfId="0" applyFont="1" applyFill="1" applyAlignment="1" applyProtection="1">
      <alignment vertical="center"/>
      <protection locked="0"/>
    </xf>
    <xf numFmtId="0" fontId="21" fillId="2" borderId="0" xfId="0" applyFont="1" applyFill="1" applyAlignment="1" applyProtection="1">
      <alignment vertical="center"/>
      <protection locked="0"/>
    </xf>
    <xf numFmtId="1" fontId="21" fillId="34" borderId="0" xfId="0" applyNumberFormat="1" applyFont="1" applyFill="1" applyAlignment="1" applyProtection="1">
      <alignment horizontal="center" vertical="center"/>
      <protection locked="0"/>
    </xf>
    <xf numFmtId="1" fontId="21" fillId="2" borderId="0" xfId="0" applyNumberFormat="1" applyFont="1" applyFill="1" applyAlignment="1" applyProtection="1">
      <alignment horizontal="center" vertical="center"/>
      <protection locked="0"/>
    </xf>
    <xf numFmtId="2" fontId="21" fillId="2" borderId="0" xfId="0" applyNumberFormat="1" applyFont="1" applyFill="1" applyAlignment="1">
      <alignment horizontal="center" vertical="center"/>
    </xf>
    <xf numFmtId="1" fontId="21" fillId="2" borderId="0" xfId="0" applyNumberFormat="1" applyFont="1" applyFill="1" applyAlignment="1">
      <alignment vertical="center"/>
    </xf>
    <xf numFmtId="2" fontId="21" fillId="35" borderId="0" xfId="0" applyNumberFormat="1" applyFont="1" applyFill="1" applyAlignment="1">
      <alignment horizontal="center" vertical="center"/>
    </xf>
    <xf numFmtId="2" fontId="21" fillId="35" borderId="0" xfId="0" applyNumberFormat="1" applyFont="1" applyFill="1" applyAlignment="1">
      <alignment horizontal="center" vertical="center" wrapText="1"/>
    </xf>
    <xf numFmtId="2" fontId="21" fillId="31" borderId="0" xfId="0" applyNumberFormat="1" applyFont="1" applyFill="1" applyAlignment="1">
      <alignment horizontal="center" vertical="center"/>
    </xf>
    <xf numFmtId="2" fontId="15" fillId="2" borderId="0" xfId="0" applyNumberFormat="1" applyFont="1" applyFill="1" applyAlignment="1">
      <alignment horizontal="center" vertical="center"/>
    </xf>
    <xf numFmtId="0" fontId="27" fillId="2" borderId="19" xfId="0" applyFont="1" applyFill="1" applyBorder="1" applyAlignment="1">
      <alignment horizontal="left" vertical="center" wrapText="1"/>
    </xf>
    <xf numFmtId="0" fontId="21" fillId="2" borderId="7" xfId="0" applyFont="1" applyFill="1" applyBorder="1"/>
    <xf numFmtId="0" fontId="21" fillId="2" borderId="14" xfId="0" applyFont="1" applyFill="1" applyBorder="1"/>
    <xf numFmtId="2" fontId="15" fillId="31" borderId="0" xfId="0" applyNumberFormat="1" applyFont="1" applyFill="1" applyAlignment="1">
      <alignment horizontal="center" vertical="center"/>
    </xf>
    <xf numFmtId="0" fontId="21" fillId="2" borderId="6" xfId="0" applyFont="1" applyFill="1" applyBorder="1"/>
    <xf numFmtId="0" fontId="21" fillId="2" borderId="8" xfId="0" applyFont="1" applyFill="1" applyBorder="1"/>
    <xf numFmtId="2" fontId="26" fillId="0" borderId="0" xfId="0" applyNumberFormat="1" applyFont="1" applyAlignment="1" applyProtection="1">
      <alignment horizontal="center" vertical="center"/>
      <protection locked="0"/>
    </xf>
    <xf numFmtId="2" fontId="21" fillId="2" borderId="0" xfId="0" applyNumberFormat="1" applyFont="1" applyFill="1" applyAlignment="1" applyProtection="1">
      <alignment horizontal="center" vertical="center"/>
      <protection locked="0"/>
    </xf>
    <xf numFmtId="0" fontId="21" fillId="2" borderId="0" xfId="0" applyFont="1" applyFill="1" applyAlignment="1">
      <alignment wrapText="1"/>
    </xf>
    <xf numFmtId="0" fontId="21" fillId="2" borderId="0" xfId="0" applyFont="1" applyFill="1" applyAlignment="1">
      <alignment horizontal="center" wrapText="1"/>
    </xf>
    <xf numFmtId="0" fontId="27" fillId="2" borderId="14" xfId="0" applyFont="1" applyFill="1" applyBorder="1" applyAlignment="1">
      <alignment horizontal="left" vertical="center" wrapText="1"/>
    </xf>
    <xf numFmtId="0" fontId="15" fillId="2" borderId="0" xfId="0" applyFont="1" applyFill="1" applyAlignment="1">
      <alignment horizontal="center" vertical="center"/>
    </xf>
    <xf numFmtId="166" fontId="21" fillId="34" borderId="0" xfId="0" applyNumberFormat="1" applyFont="1" applyFill="1" applyAlignment="1" applyProtection="1">
      <alignment horizontal="center" vertical="center"/>
      <protection locked="0"/>
    </xf>
    <xf numFmtId="2" fontId="21" fillId="35" borderId="0" xfId="0" applyNumberFormat="1" applyFont="1" applyFill="1" applyAlignment="1">
      <alignment vertical="center"/>
    </xf>
    <xf numFmtId="2" fontId="21" fillId="36" borderId="0" xfId="0" applyNumberFormat="1" applyFont="1" applyFill="1" applyAlignment="1">
      <alignment vertical="center"/>
    </xf>
    <xf numFmtId="2" fontId="21" fillId="35" borderId="0" xfId="0" applyNumberFormat="1" applyFont="1" applyFill="1"/>
    <xf numFmtId="0" fontId="21" fillId="36" borderId="0" xfId="0" applyFont="1" applyFill="1" applyAlignment="1">
      <alignment vertical="center"/>
    </xf>
    <xf numFmtId="2" fontId="21" fillId="35" borderId="0" xfId="0" applyNumberFormat="1" applyFont="1" applyFill="1" applyAlignment="1">
      <alignment wrapText="1"/>
    </xf>
    <xf numFmtId="2" fontId="6" fillId="36" borderId="0" xfId="0" applyNumberFormat="1" applyFont="1" applyFill="1"/>
    <xf numFmtId="2" fontId="21" fillId="36" borderId="0" xfId="0" applyNumberFormat="1" applyFont="1" applyFill="1"/>
    <xf numFmtId="166" fontId="15" fillId="31" borderId="0" xfId="0" applyNumberFormat="1" applyFont="1" applyFill="1" applyAlignment="1">
      <alignment horizontal="center" vertical="center"/>
    </xf>
    <xf numFmtId="2" fontId="15" fillId="35" borderId="0" xfId="0" applyNumberFormat="1" applyFont="1" applyFill="1" applyAlignment="1">
      <alignment vertical="center"/>
    </xf>
    <xf numFmtId="0" fontId="15" fillId="36" borderId="0" xfId="0" applyFont="1" applyFill="1" applyAlignment="1">
      <alignment vertical="center"/>
    </xf>
    <xf numFmtId="2" fontId="15" fillId="35" borderId="0" xfId="0" applyNumberFormat="1" applyFont="1" applyFill="1" applyAlignment="1">
      <alignment horizontal="center" vertical="center"/>
    </xf>
    <xf numFmtId="0" fontId="21" fillId="2" borderId="0" xfId="0" applyFont="1" applyFill="1" applyAlignment="1">
      <alignment horizontal="right"/>
    </xf>
    <xf numFmtId="2" fontId="15" fillId="31" borderId="0" xfId="0" applyNumberFormat="1" applyFont="1" applyFill="1" applyAlignment="1">
      <alignment horizontal="center" vertical="center" wrapText="1"/>
    </xf>
    <xf numFmtId="0" fontId="6" fillId="2" borderId="7" xfId="0" applyFont="1" applyFill="1" applyBorder="1"/>
    <xf numFmtId="0" fontId="6" fillId="2" borderId="5" xfId="0" applyFont="1" applyFill="1" applyBorder="1"/>
    <xf numFmtId="0" fontId="21" fillId="3" borderId="0" xfId="0" applyFont="1" applyFill="1" applyAlignment="1">
      <alignment horizontal="left" vertical="center"/>
    </xf>
    <xf numFmtId="0" fontId="21" fillId="3" borderId="0" xfId="0" applyFont="1" applyFill="1" applyAlignment="1">
      <alignment horizontal="right" vertical="center"/>
    </xf>
    <xf numFmtId="0" fontId="21" fillId="3" borderId="0" xfId="0" applyFont="1" applyFill="1" applyAlignment="1">
      <alignment horizontal="right" vertical="center" wrapText="1"/>
    </xf>
    <xf numFmtId="2" fontId="21" fillId="3" borderId="0" xfId="0" applyNumberFormat="1" applyFont="1" applyFill="1" applyAlignment="1">
      <alignment horizontal="right" vertical="center"/>
    </xf>
    <xf numFmtId="2" fontId="15" fillId="36" borderId="0" xfId="0" applyNumberFormat="1" applyFont="1" applyFill="1" applyAlignment="1">
      <alignment horizontal="center" vertical="center"/>
    </xf>
    <xf numFmtId="0" fontId="21" fillId="32" borderId="0" xfId="0" applyFont="1" applyFill="1" applyAlignment="1">
      <alignment horizontal="left" vertical="center"/>
    </xf>
    <xf numFmtId="0" fontId="21" fillId="32" borderId="0" xfId="0" applyFont="1" applyFill="1" applyAlignment="1">
      <alignment horizontal="right" vertical="center"/>
    </xf>
    <xf numFmtId="2" fontId="21" fillId="32" borderId="0" xfId="0" applyNumberFormat="1" applyFont="1" applyFill="1" applyAlignment="1">
      <alignment horizontal="right" vertical="center"/>
    </xf>
    <xf numFmtId="2" fontId="15" fillId="0" borderId="0" xfId="0" applyNumberFormat="1" applyFont="1" applyAlignment="1">
      <alignment horizontal="center" vertical="center"/>
    </xf>
    <xf numFmtId="0" fontId="27" fillId="2" borderId="0" xfId="0" applyFont="1" applyFill="1" applyAlignment="1">
      <alignment horizontal="left" vertical="center"/>
    </xf>
    <xf numFmtId="0" fontId="6" fillId="2" borderId="8" xfId="0" applyFont="1" applyFill="1" applyBorder="1"/>
    <xf numFmtId="0" fontId="21" fillId="2" borderId="2" xfId="0" applyFont="1" applyFill="1" applyBorder="1"/>
    <xf numFmtId="0" fontId="21" fillId="2" borderId="3" xfId="0" applyFont="1" applyFill="1" applyBorder="1"/>
    <xf numFmtId="0" fontId="21" fillId="0" borderId="6" xfId="0" applyFont="1" applyBorder="1"/>
    <xf numFmtId="0" fontId="21" fillId="2" borderId="22" xfId="0" applyFont="1" applyFill="1" applyBorder="1"/>
    <xf numFmtId="0" fontId="21" fillId="2" borderId="23" xfId="0" applyFont="1" applyFill="1" applyBorder="1" applyAlignment="1">
      <alignment vertical="center"/>
    </xf>
    <xf numFmtId="0" fontId="27" fillId="2" borderId="0" xfId="0" applyFont="1" applyFill="1" applyAlignment="1">
      <alignment horizontal="center" vertical="center" wrapText="1"/>
    </xf>
    <xf numFmtId="166" fontId="15" fillId="35" borderId="0" xfId="0" applyNumberFormat="1" applyFont="1" applyFill="1" applyAlignment="1">
      <alignment horizontal="center" vertical="center"/>
    </xf>
    <xf numFmtId="2" fontId="15" fillId="2" borderId="0" xfId="0" applyNumberFormat="1" applyFont="1" applyFill="1" applyAlignment="1">
      <alignment vertical="center"/>
    </xf>
    <xf numFmtId="0" fontId="21" fillId="2" borderId="19" xfId="0" applyFont="1" applyFill="1" applyBorder="1"/>
    <xf numFmtId="0" fontId="21" fillId="2" borderId="7" xfId="0" applyFont="1" applyFill="1" applyBorder="1" applyAlignment="1">
      <alignment vertical="center"/>
    </xf>
    <xf numFmtId="0" fontId="21" fillId="2" borderId="24" xfId="0" applyFont="1" applyFill="1" applyBorder="1" applyAlignment="1">
      <alignment vertical="center"/>
    </xf>
    <xf numFmtId="0" fontId="21" fillId="2" borderId="5" xfId="0" applyFont="1" applyFill="1" applyBorder="1" applyAlignment="1">
      <alignment vertical="center"/>
    </xf>
    <xf numFmtId="166" fontId="21" fillId="31" borderId="0" xfId="0" applyNumberFormat="1" applyFont="1" applyFill="1" applyAlignment="1">
      <alignment horizontal="center" vertical="center"/>
    </xf>
    <xf numFmtId="166" fontId="21" fillId="2" borderId="0" xfId="0" applyNumberFormat="1" applyFont="1" applyFill="1" applyAlignment="1">
      <alignment horizontal="center" vertical="center"/>
    </xf>
    <xf numFmtId="2" fontId="21" fillId="0" borderId="0" xfId="0" applyNumberFormat="1" applyFont="1" applyAlignment="1">
      <alignment vertical="center"/>
    </xf>
    <xf numFmtId="2" fontId="21" fillId="34" borderId="0" xfId="0" applyNumberFormat="1" applyFont="1" applyFill="1" applyAlignment="1" applyProtection="1">
      <alignment horizontal="center" vertical="center"/>
      <protection locked="0"/>
    </xf>
    <xf numFmtId="2" fontId="21" fillId="2" borderId="0" xfId="0" applyNumberFormat="1" applyFont="1" applyFill="1" applyAlignment="1">
      <alignment horizontal="right" vertical="center"/>
    </xf>
    <xf numFmtId="166" fontId="15" fillId="2" borderId="0" xfId="0" applyNumberFormat="1" applyFont="1" applyFill="1" applyAlignment="1">
      <alignment horizontal="center" vertical="center"/>
    </xf>
    <xf numFmtId="166" fontId="21" fillId="2" borderId="0" xfId="0" applyNumberFormat="1" applyFont="1" applyFill="1" applyAlignment="1" applyProtection="1">
      <alignment horizontal="center" vertical="center"/>
      <protection locked="0"/>
    </xf>
    <xf numFmtId="2" fontId="21" fillId="2" borderId="0" xfId="0" applyNumberFormat="1" applyFont="1" applyFill="1" applyAlignment="1">
      <alignment vertical="center"/>
    </xf>
    <xf numFmtId="0" fontId="21" fillId="0" borderId="8" xfId="0" applyFont="1" applyBorder="1" applyAlignment="1">
      <alignment vertical="center"/>
    </xf>
    <xf numFmtId="2" fontId="21" fillId="2" borderId="0" xfId="0" applyNumberFormat="1" applyFont="1" applyFill="1"/>
    <xf numFmtId="0" fontId="21" fillId="2" borderId="2" xfId="0" applyFont="1" applyFill="1" applyBorder="1" applyAlignment="1">
      <alignment vertical="center"/>
    </xf>
    <xf numFmtId="166" fontId="21" fillId="31" borderId="0" xfId="0" applyNumberFormat="1" applyFont="1" applyFill="1" applyAlignment="1">
      <alignment horizontal="center" vertical="center" wrapText="1"/>
    </xf>
    <xf numFmtId="0" fontId="27" fillId="2" borderId="7" xfId="0" applyFont="1" applyFill="1" applyBorder="1" applyAlignment="1">
      <alignment horizontal="left" vertical="center" wrapText="1"/>
    </xf>
    <xf numFmtId="1" fontId="21" fillId="31" borderId="0" xfId="0" applyNumberFormat="1" applyFont="1" applyFill="1" applyAlignment="1">
      <alignment vertical="center"/>
    </xf>
    <xf numFmtId="2" fontId="21" fillId="2" borderId="0" xfId="0" applyNumberFormat="1" applyFont="1" applyFill="1" applyAlignment="1">
      <alignment horizontal="center"/>
    </xf>
    <xf numFmtId="2" fontId="21" fillId="31" borderId="0" xfId="0" applyNumberFormat="1" applyFont="1" applyFill="1" applyAlignment="1">
      <alignment vertical="center"/>
    </xf>
    <xf numFmtId="2" fontId="21" fillId="2" borderId="0" xfId="0" applyNumberFormat="1" applyFont="1" applyFill="1" applyAlignment="1">
      <alignment horizontal="right"/>
    </xf>
    <xf numFmtId="165" fontId="15" fillId="31" borderId="0" xfId="0" applyNumberFormat="1" applyFont="1" applyFill="1" applyAlignment="1">
      <alignment vertical="center"/>
    </xf>
    <xf numFmtId="0" fontId="15" fillId="2" borderId="0" xfId="0" applyFont="1" applyFill="1" applyAlignment="1">
      <alignment horizontal="right"/>
    </xf>
    <xf numFmtId="2" fontId="17" fillId="0" borderId="0" xfId="0" applyNumberFormat="1" applyFont="1" applyAlignment="1">
      <alignment horizontal="center"/>
    </xf>
    <xf numFmtId="165" fontId="22" fillId="0" borderId="0" xfId="0" applyNumberFormat="1" applyFont="1" applyAlignment="1">
      <alignment horizontal="center"/>
    </xf>
    <xf numFmtId="2" fontId="22" fillId="0" borderId="0" xfId="0" applyNumberFormat="1" applyFont="1" applyAlignment="1">
      <alignment horizontal="left"/>
    </xf>
    <xf numFmtId="165" fontId="22" fillId="0" borderId="0" xfId="0" applyNumberFormat="1" applyFont="1" applyAlignment="1">
      <alignment horizontal="left"/>
    </xf>
    <xf numFmtId="0" fontId="17" fillId="38" borderId="0" xfId="0" applyFont="1" applyFill="1"/>
    <xf numFmtId="0" fontId="17" fillId="7" borderId="0" xfId="0" applyFont="1" applyFill="1"/>
    <xf numFmtId="165" fontId="17" fillId="0" borderId="0" xfId="0" applyNumberFormat="1" applyFont="1" applyAlignment="1">
      <alignment horizontal="center" wrapText="1"/>
    </xf>
    <xf numFmtId="0" fontId="15" fillId="2" borderId="0" xfId="0" applyFont="1" applyFill="1" applyAlignment="1" applyProtection="1">
      <alignment vertical="center"/>
      <protection locked="0"/>
    </xf>
    <xf numFmtId="0" fontId="23" fillId="33" borderId="9" xfId="4" applyFont="1" applyFill="1" applyBorder="1" applyAlignment="1" applyProtection="1">
      <alignment horizontal="left" vertical="center"/>
    </xf>
    <xf numFmtId="1" fontId="15" fillId="35" borderId="0" xfId="0" applyNumberFormat="1" applyFont="1" applyFill="1" applyAlignment="1" applyProtection="1">
      <alignment horizontal="center" vertical="center"/>
      <protection locked="0"/>
    </xf>
    <xf numFmtId="1" fontId="15" fillId="31" borderId="0" xfId="0" applyNumberFormat="1" applyFont="1" applyFill="1" applyAlignment="1">
      <alignment horizontal="center" vertical="center"/>
    </xf>
    <xf numFmtId="0" fontId="21" fillId="34" borderId="0" xfId="0" applyFont="1" applyFill="1" applyProtection="1">
      <protection locked="0"/>
    </xf>
    <xf numFmtId="2" fontId="17" fillId="4" borderId="21" xfId="0" applyNumberFormat="1" applyFont="1" applyFill="1" applyBorder="1"/>
    <xf numFmtId="0" fontId="21" fillId="2" borderId="10" xfId="0" applyFont="1" applyFill="1" applyBorder="1" applyAlignment="1">
      <alignment vertical="center" wrapText="1"/>
    </xf>
    <xf numFmtId="0" fontId="21" fillId="2" borderId="11" xfId="0" applyFont="1" applyFill="1" applyBorder="1" applyAlignment="1">
      <alignment vertical="center" wrapText="1"/>
    </xf>
    <xf numFmtId="0" fontId="21" fillId="2" borderId="12" xfId="0" applyFont="1" applyFill="1" applyBorder="1" applyAlignment="1">
      <alignment vertical="center" wrapText="1"/>
    </xf>
    <xf numFmtId="0" fontId="21" fillId="2" borderId="0" xfId="0" applyFont="1" applyFill="1" applyAlignment="1">
      <alignment horizontal="left" vertical="center" wrapText="1"/>
    </xf>
    <xf numFmtId="0" fontId="21" fillId="33" borderId="10" xfId="0" applyFont="1" applyFill="1" applyBorder="1" applyAlignment="1">
      <alignment vertical="center" wrapText="1"/>
    </xf>
    <xf numFmtId="0" fontId="21" fillId="33" borderId="11" xfId="0" applyFont="1" applyFill="1" applyBorder="1" applyAlignment="1">
      <alignment vertical="center" wrapText="1"/>
    </xf>
    <xf numFmtId="0" fontId="21" fillId="33" borderId="12" xfId="0" applyFont="1" applyFill="1" applyBorder="1" applyAlignment="1">
      <alignment vertical="center" wrapText="1"/>
    </xf>
    <xf numFmtId="0" fontId="23" fillId="33" borderId="9" xfId="4" applyFont="1" applyFill="1" applyBorder="1" applyAlignment="1" applyProtection="1">
      <alignment vertical="center"/>
    </xf>
    <xf numFmtId="0" fontId="21" fillId="2" borderId="9" xfId="0" applyFont="1" applyFill="1" applyBorder="1" applyAlignment="1">
      <alignment horizontal="left" vertical="center" wrapText="1"/>
    </xf>
    <xf numFmtId="0" fontId="15" fillId="2" borderId="9" xfId="0" applyFont="1" applyFill="1" applyBorder="1" applyAlignment="1">
      <alignment horizontal="center" vertical="center"/>
    </xf>
    <xf numFmtId="0" fontId="21" fillId="2" borderId="0" xfId="0" applyFont="1" applyFill="1" applyAlignment="1">
      <alignment horizontal="center" vertical="center" wrapText="1"/>
    </xf>
    <xf numFmtId="0" fontId="21" fillId="0" borderId="9" xfId="0" applyFont="1" applyBorder="1" applyAlignment="1">
      <alignment horizontal="left" vertical="center"/>
    </xf>
    <xf numFmtId="0" fontId="21" fillId="0" borderId="9" xfId="0" applyFont="1" applyBorder="1" applyAlignment="1">
      <alignment horizontal="left" vertical="center" wrapText="1"/>
    </xf>
    <xf numFmtId="0" fontId="15" fillId="2" borderId="0" xfId="0" applyFont="1" applyFill="1" applyAlignment="1" applyProtection="1">
      <alignment horizontal="left" vertical="center"/>
      <protection locked="0"/>
    </xf>
    <xf numFmtId="0" fontId="21" fillId="2" borderId="10" xfId="0" applyFont="1" applyFill="1" applyBorder="1" applyAlignment="1">
      <alignment horizontal="left" vertical="center"/>
    </xf>
    <xf numFmtId="0" fontId="21" fillId="2" borderId="11" xfId="0" applyFont="1" applyFill="1" applyBorder="1" applyAlignment="1">
      <alignment horizontal="left" vertical="center"/>
    </xf>
    <xf numFmtId="0" fontId="21" fillId="2" borderId="12" xfId="0" applyFont="1" applyFill="1" applyBorder="1" applyAlignment="1">
      <alignment horizontal="left" vertical="center"/>
    </xf>
    <xf numFmtId="0" fontId="21" fillId="0" borderId="10" xfId="0" applyFont="1" applyBorder="1" applyAlignment="1">
      <alignment horizontal="left" vertical="center"/>
    </xf>
    <xf numFmtId="0" fontId="21" fillId="0" borderId="11" xfId="0" applyFont="1" applyBorder="1" applyAlignment="1">
      <alignment horizontal="left" vertical="center"/>
    </xf>
    <xf numFmtId="0" fontId="21" fillId="0" borderId="12" xfId="0" applyFont="1" applyBorder="1" applyAlignment="1">
      <alignment horizontal="left" vertical="center"/>
    </xf>
    <xf numFmtId="0" fontId="21" fillId="2" borderId="9" xfId="0" applyFont="1" applyFill="1" applyBorder="1" applyAlignment="1">
      <alignment horizontal="left" vertical="center"/>
    </xf>
    <xf numFmtId="0" fontId="21" fillId="2" borderId="0" xfId="0" applyFont="1" applyFill="1" applyAlignment="1">
      <alignment horizontal="left" vertical="center"/>
    </xf>
    <xf numFmtId="0" fontId="15" fillId="2" borderId="9" xfId="0" applyFont="1" applyFill="1" applyBorder="1" applyAlignment="1">
      <alignment horizontal="left" vertical="center" wrapText="1"/>
    </xf>
    <xf numFmtId="0" fontId="21" fillId="0" borderId="0" xfId="0" applyFont="1" applyAlignment="1">
      <alignment horizontal="left" vertical="top" wrapText="1"/>
    </xf>
    <xf numFmtId="0" fontId="21" fillId="2" borderId="9" xfId="0" applyFont="1" applyFill="1" applyBorder="1" applyAlignment="1">
      <alignment vertical="center" wrapText="1"/>
    </xf>
    <xf numFmtId="0" fontId="21" fillId="33" borderId="9" xfId="0" applyFont="1" applyFill="1" applyBorder="1" applyAlignment="1">
      <alignment vertical="center" wrapText="1"/>
    </xf>
    <xf numFmtId="0" fontId="15" fillId="2" borderId="18"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23" fillId="2" borderId="0" xfId="4" applyFont="1" applyFill="1" applyBorder="1" applyAlignment="1" applyProtection="1">
      <alignment horizontal="left" vertical="center" wrapText="1"/>
      <protection locked="0"/>
    </xf>
    <xf numFmtId="0" fontId="15" fillId="2" borderId="0" xfId="0" applyFont="1" applyFill="1" applyAlignment="1">
      <alignment horizontal="left" vertical="center"/>
    </xf>
    <xf numFmtId="0" fontId="21" fillId="2" borderId="10" xfId="0" applyFont="1" applyFill="1" applyBorder="1" applyAlignment="1">
      <alignment horizontal="left" vertical="center" wrapText="1"/>
    </xf>
    <xf numFmtId="0" fontId="21" fillId="2" borderId="11" xfId="0" applyFont="1" applyFill="1" applyBorder="1" applyAlignment="1">
      <alignment horizontal="left" vertical="center" wrapText="1"/>
    </xf>
    <xf numFmtId="0" fontId="21" fillId="2" borderId="12" xfId="0" applyFont="1" applyFill="1" applyBorder="1" applyAlignment="1">
      <alignment horizontal="left" vertical="center" wrapText="1"/>
    </xf>
    <xf numFmtId="0" fontId="21" fillId="2" borderId="17" xfId="0" applyFont="1" applyFill="1" applyBorder="1" applyAlignment="1">
      <alignment horizontal="left" vertical="center" wrapText="1"/>
    </xf>
    <xf numFmtId="0" fontId="21" fillId="2" borderId="0" xfId="0" applyFont="1" applyFill="1" applyAlignment="1">
      <alignment vertical="center" wrapText="1"/>
    </xf>
    <xf numFmtId="0" fontId="21" fillId="2" borderId="17" xfId="0" applyFont="1" applyFill="1" applyBorder="1" applyAlignment="1">
      <alignment vertical="center" wrapText="1"/>
    </xf>
    <xf numFmtId="0" fontId="21" fillId="2" borderId="0" xfId="0" applyFont="1" applyFill="1" applyAlignment="1">
      <alignment vertical="center"/>
    </xf>
    <xf numFmtId="0" fontId="21" fillId="2" borderId="17" xfId="0" applyFont="1" applyFill="1" applyBorder="1" applyAlignment="1">
      <alignment vertical="center"/>
    </xf>
    <xf numFmtId="0" fontId="15" fillId="2" borderId="0" xfId="0" applyFont="1" applyFill="1" applyAlignment="1" applyProtection="1">
      <alignment horizontal="left"/>
      <protection locked="0"/>
    </xf>
    <xf numFmtId="0" fontId="21" fillId="2" borderId="14" xfId="0" applyFont="1" applyFill="1" applyBorder="1" applyAlignment="1">
      <alignment horizontal="left" vertical="center" wrapText="1"/>
    </xf>
    <xf numFmtId="0" fontId="21" fillId="2" borderId="15" xfId="0" applyFont="1" applyFill="1" applyBorder="1" applyAlignment="1">
      <alignment horizontal="left" vertical="center" wrapText="1"/>
    </xf>
    <xf numFmtId="0" fontId="23" fillId="2" borderId="0" xfId="4" applyFont="1" applyFill="1" applyBorder="1" applyAlignment="1" applyProtection="1">
      <alignment horizontal="left" vertical="center"/>
    </xf>
    <xf numFmtId="0" fontId="15" fillId="2" borderId="0" xfId="0" applyFont="1" applyFill="1" applyAlignment="1" applyProtection="1">
      <alignment horizontal="left" vertical="center" wrapText="1"/>
      <protection locked="0"/>
    </xf>
    <xf numFmtId="0" fontId="25" fillId="2" borderId="0" xfId="4" applyFont="1" applyFill="1" applyBorder="1" applyAlignment="1" applyProtection="1">
      <alignment horizontal="left" vertical="center" wrapText="1"/>
      <protection locked="0"/>
    </xf>
    <xf numFmtId="0" fontId="26" fillId="2" borderId="0" xfId="4" applyFont="1" applyFill="1" applyBorder="1" applyAlignment="1" applyProtection="1">
      <alignment horizontal="left"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3" fillId="2" borderId="0" xfId="0" applyFont="1" applyFill="1" applyAlignment="1">
      <alignment vertical="top"/>
    </xf>
    <xf numFmtId="0" fontId="23" fillId="2" borderId="0" xfId="0" applyFont="1" applyFill="1" applyAlignment="1">
      <alignment vertical="top" wrapText="1"/>
    </xf>
    <xf numFmtId="0" fontId="25" fillId="2" borderId="0" xfId="4" applyFont="1" applyFill="1" applyBorder="1" applyAlignment="1" applyProtection="1">
      <alignment horizontal="left" vertical="top"/>
      <protection locked="0"/>
    </xf>
    <xf numFmtId="0" fontId="23" fillId="2" borderId="0" xfId="0" applyFont="1" applyFill="1" applyAlignment="1">
      <alignment horizontal="left" vertical="top" wrapText="1"/>
    </xf>
    <xf numFmtId="0" fontId="23" fillId="2" borderId="0" xfId="0" applyFont="1" applyFill="1" applyAlignment="1">
      <alignment horizontal="left" vertical="top"/>
    </xf>
    <xf numFmtId="0" fontId="24" fillId="2" borderId="0" xfId="0" applyFont="1" applyFill="1" applyAlignment="1" applyProtection="1">
      <alignment vertical="top" wrapText="1"/>
      <protection locked="0"/>
    </xf>
    <xf numFmtId="0" fontId="15" fillId="2" borderId="20" xfId="0" applyFont="1" applyFill="1" applyBorder="1" applyAlignment="1">
      <alignment horizontal="center" vertical="center" wrapText="1"/>
    </xf>
    <xf numFmtId="0" fontId="21" fillId="2" borderId="10" xfId="0" applyFont="1" applyFill="1" applyBorder="1" applyAlignment="1" applyProtection="1">
      <alignment horizontal="left"/>
      <protection locked="0"/>
    </xf>
    <xf numFmtId="0" fontId="21" fillId="2" borderId="11" xfId="0" applyFont="1" applyFill="1" applyBorder="1" applyAlignment="1" applyProtection="1">
      <alignment horizontal="left"/>
      <protection locked="0"/>
    </xf>
    <xf numFmtId="0" fontId="21" fillId="2" borderId="12" xfId="0" applyFont="1" applyFill="1" applyBorder="1" applyAlignment="1" applyProtection="1">
      <alignment horizontal="left"/>
      <protection locked="0"/>
    </xf>
    <xf numFmtId="0" fontId="21" fillId="2" borderId="13" xfId="0" applyFont="1" applyFill="1" applyBorder="1" applyAlignment="1" applyProtection="1">
      <alignment horizontal="left" vertical="top"/>
      <protection locked="0"/>
    </xf>
    <xf numFmtId="0" fontId="21" fillId="2" borderId="14" xfId="0" applyFont="1" applyFill="1" applyBorder="1" applyAlignment="1" applyProtection="1">
      <alignment horizontal="left" vertical="top"/>
      <protection locked="0"/>
    </xf>
    <xf numFmtId="0" fontId="21" fillId="2" borderId="15" xfId="0" applyFont="1" applyFill="1" applyBorder="1" applyAlignment="1" applyProtection="1">
      <alignment horizontal="left" vertical="top"/>
      <protection locked="0"/>
    </xf>
    <xf numFmtId="0" fontId="21" fillId="2" borderId="16" xfId="0" applyFont="1" applyFill="1" applyBorder="1" applyAlignment="1" applyProtection="1">
      <alignment horizontal="left" vertical="top"/>
      <protection locked="0"/>
    </xf>
    <xf numFmtId="0" fontId="21" fillId="2" borderId="0" xfId="0" applyFont="1" applyFill="1" applyAlignment="1" applyProtection="1">
      <alignment horizontal="left" vertical="top"/>
      <protection locked="0"/>
    </xf>
    <xf numFmtId="0" fontId="21" fillId="2" borderId="17" xfId="0" applyFont="1" applyFill="1" applyBorder="1" applyAlignment="1" applyProtection="1">
      <alignment horizontal="left" vertical="top"/>
      <protection locked="0"/>
    </xf>
    <xf numFmtId="0" fontId="21" fillId="2" borderId="18" xfId="0" applyFont="1" applyFill="1" applyBorder="1" applyAlignment="1" applyProtection="1">
      <alignment horizontal="left" vertical="top"/>
      <protection locked="0"/>
    </xf>
    <xf numFmtId="0" fontId="21" fillId="2" borderId="19" xfId="0" applyFont="1" applyFill="1" applyBorder="1" applyAlignment="1" applyProtection="1">
      <alignment horizontal="left" vertical="top"/>
      <protection locked="0"/>
    </xf>
    <xf numFmtId="0" fontId="21" fillId="2" borderId="20" xfId="0" applyFont="1" applyFill="1" applyBorder="1" applyAlignment="1" applyProtection="1">
      <alignment horizontal="left" vertical="top"/>
      <protection locked="0"/>
    </xf>
    <xf numFmtId="0" fontId="15" fillId="2" borderId="10" xfId="0" applyFont="1" applyFill="1" applyBorder="1" applyAlignment="1">
      <alignment horizontal="left" vertical="center"/>
    </xf>
    <xf numFmtId="0" fontId="15" fillId="2" borderId="12" xfId="0" applyFont="1" applyFill="1" applyBorder="1" applyAlignment="1">
      <alignment horizontal="left" vertical="center"/>
    </xf>
    <xf numFmtId="0" fontId="15" fillId="2" borderId="10" xfId="0" applyFont="1" applyFill="1" applyBorder="1" applyAlignment="1" applyProtection="1">
      <alignment horizontal="left"/>
      <protection locked="0"/>
    </xf>
    <xf numFmtId="0" fontId="15" fillId="2" borderId="11" xfId="0" applyFont="1" applyFill="1" applyBorder="1" applyAlignment="1" applyProtection="1">
      <alignment horizontal="left"/>
      <protection locked="0"/>
    </xf>
    <xf numFmtId="0" fontId="15" fillId="2" borderId="12" xfId="0" applyFont="1" applyFill="1" applyBorder="1" applyAlignment="1" applyProtection="1">
      <alignment horizontal="left"/>
      <protection locked="0"/>
    </xf>
    <xf numFmtId="0" fontId="21" fillId="2" borderId="10" xfId="0" applyFont="1" applyFill="1" applyBorder="1" applyAlignment="1" applyProtection="1">
      <alignment horizontal="left" wrapText="1"/>
      <protection locked="0"/>
    </xf>
    <xf numFmtId="0" fontId="21" fillId="2" borderId="11" xfId="0" applyFont="1" applyFill="1" applyBorder="1" applyAlignment="1" applyProtection="1">
      <alignment horizontal="left" wrapText="1"/>
      <protection locked="0"/>
    </xf>
    <xf numFmtId="0" fontId="21" fillId="2" borderId="12" xfId="0" applyFont="1" applyFill="1" applyBorder="1" applyAlignment="1" applyProtection="1">
      <alignment horizontal="left" wrapText="1"/>
      <protection locked="0"/>
    </xf>
    <xf numFmtId="0" fontId="27" fillId="2" borderId="0" xfId="0" applyFont="1" applyFill="1" applyAlignment="1">
      <alignment horizontal="left" vertical="center" wrapText="1"/>
    </xf>
    <xf numFmtId="0" fontId="15" fillId="2" borderId="0" xfId="0" applyFont="1" applyFill="1" applyAlignment="1">
      <alignment horizontal="left" vertical="center" wrapText="1"/>
    </xf>
    <xf numFmtId="0" fontId="21" fillId="0" borderId="0" xfId="0" applyFont="1" applyAlignment="1">
      <alignment horizontal="left" vertical="center"/>
    </xf>
    <xf numFmtId="0" fontId="21" fillId="2" borderId="0" xfId="0" applyFont="1" applyFill="1" applyAlignment="1">
      <alignment horizontal="right" vertical="center" wrapText="1"/>
    </xf>
    <xf numFmtId="0" fontId="21" fillId="2" borderId="0" xfId="0" applyFont="1" applyFill="1" applyAlignment="1">
      <alignment horizontal="center" vertical="center"/>
    </xf>
    <xf numFmtId="0" fontId="15" fillId="2" borderId="0" xfId="0" applyFont="1" applyFill="1" applyAlignment="1">
      <alignment horizontal="center" vertical="center" wrapText="1"/>
    </xf>
    <xf numFmtId="0" fontId="27" fillId="2" borderId="19" xfId="0" applyFont="1" applyFill="1" applyBorder="1" applyAlignment="1">
      <alignment horizontal="left" vertical="center" wrapText="1"/>
    </xf>
    <xf numFmtId="0" fontId="15" fillId="2" borderId="0" xfId="0" applyFont="1" applyFill="1" applyAlignment="1">
      <alignment horizontal="left"/>
    </xf>
    <xf numFmtId="0" fontId="9" fillId="0" borderId="0" xfId="0" applyFont="1" applyAlignment="1">
      <alignment horizontal="left" vertical="top" wrapText="1"/>
    </xf>
    <xf numFmtId="0" fontId="21" fillId="2" borderId="0" xfId="0" applyFont="1" applyFill="1" applyAlignment="1">
      <alignment horizontal="left"/>
    </xf>
    <xf numFmtId="0" fontId="15" fillId="2" borderId="0" xfId="0" applyFont="1" applyFill="1" applyAlignment="1">
      <alignment horizontal="right" vertical="center"/>
    </xf>
    <xf numFmtId="49" fontId="30" fillId="2" borderId="0" xfId="4" applyNumberFormat="1" applyFont="1" applyFill="1" applyBorder="1" applyAlignment="1" applyProtection="1">
      <alignment horizontal="left" vertical="center" wrapText="1"/>
      <protection locked="0"/>
    </xf>
    <xf numFmtId="0" fontId="30" fillId="0" borderId="0" xfId="4" applyFont="1" applyAlignment="1" applyProtection="1">
      <alignment horizontal="left"/>
      <protection locked="0"/>
    </xf>
    <xf numFmtId="0" fontId="2" fillId="0" borderId="0" xfId="0" applyFont="1" applyAlignment="1">
      <alignment horizontal="center"/>
    </xf>
    <xf numFmtId="0" fontId="13" fillId="0" borderId="0" xfId="0" applyFont="1" applyAlignment="1">
      <alignment horizontal="center" wrapText="1"/>
    </xf>
    <xf numFmtId="0" fontId="27" fillId="2" borderId="0" xfId="0" applyFont="1" applyFill="1" applyAlignment="1">
      <alignment horizontal="left" wrapText="1"/>
    </xf>
    <xf numFmtId="0" fontId="15" fillId="3" borderId="0" xfId="0" applyFont="1" applyFill="1" applyAlignment="1">
      <alignment horizontal="left" vertical="center" wrapText="1"/>
    </xf>
    <xf numFmtId="0" fontId="15" fillId="2" borderId="0" xfId="0" applyFont="1" applyFill="1" applyAlignment="1">
      <alignment horizontal="center" vertical="center"/>
    </xf>
    <xf numFmtId="0" fontId="15" fillId="2" borderId="0" xfId="0" applyFont="1" applyFill="1" applyAlignment="1">
      <alignment horizontal="center"/>
    </xf>
    <xf numFmtId="0" fontId="27" fillId="2" borderId="0" xfId="0" applyFont="1" applyFill="1" applyAlignment="1">
      <alignment horizontal="left" vertical="top" wrapText="1"/>
    </xf>
    <xf numFmtId="0" fontId="27" fillId="2" borderId="7" xfId="0" applyFont="1" applyFill="1" applyBorder="1" applyAlignment="1">
      <alignment horizontal="left" vertical="center" wrapText="1"/>
    </xf>
    <xf numFmtId="0" fontId="27" fillId="2" borderId="0" xfId="0" applyFont="1" applyFill="1" applyAlignment="1">
      <alignment horizontal="center" vertical="center" wrapText="1"/>
    </xf>
    <xf numFmtId="0" fontId="21" fillId="34" borderId="0" xfId="0" applyFont="1" applyFill="1" applyAlignment="1" applyProtection="1">
      <alignment horizontal="center" vertical="center"/>
      <protection locked="0"/>
    </xf>
    <xf numFmtId="49" fontId="26" fillId="2" borderId="0" xfId="4" applyNumberFormat="1" applyFont="1" applyFill="1" applyBorder="1" applyAlignment="1" applyProtection="1">
      <alignment horizontal="left" vertical="center" wrapText="1"/>
    </xf>
    <xf numFmtId="49" fontId="26" fillId="2" borderId="23" xfId="4" applyNumberFormat="1" applyFont="1" applyFill="1" applyBorder="1" applyAlignment="1" applyProtection="1">
      <alignment horizontal="left" vertical="center" wrapText="1"/>
    </xf>
    <xf numFmtId="0" fontId="15" fillId="0" borderId="0" xfId="0" applyFont="1" applyAlignment="1">
      <alignment horizontal="center" vertical="center"/>
    </xf>
    <xf numFmtId="0" fontId="15" fillId="2" borderId="0" xfId="0" quotePrefix="1" applyFont="1" applyFill="1" applyAlignment="1">
      <alignment horizontal="center" vertical="center"/>
    </xf>
    <xf numFmtId="0" fontId="21" fillId="0" borderId="0" xfId="0" applyFont="1" applyAlignment="1" applyProtection="1">
      <alignment horizontal="left" wrapText="1"/>
      <protection locked="0"/>
    </xf>
    <xf numFmtId="0" fontId="1" fillId="2" borderId="32" xfId="0" applyFont="1" applyFill="1" applyBorder="1" applyAlignment="1">
      <alignment horizontal="center"/>
    </xf>
    <xf numFmtId="0" fontId="1" fillId="2" borderId="36" xfId="0" applyFont="1" applyFill="1" applyBorder="1" applyAlignment="1">
      <alignment horizontal="center"/>
    </xf>
    <xf numFmtId="0" fontId="1" fillId="2" borderId="33" xfId="0" applyFont="1" applyFill="1" applyBorder="1" applyAlignment="1">
      <alignment horizontal="center"/>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3" fillId="2" borderId="1" xfId="0" applyFont="1" applyFill="1" applyBorder="1" applyAlignment="1">
      <alignment horizontal="center" wrapText="1"/>
    </xf>
    <xf numFmtId="0" fontId="13" fillId="2" borderId="35" xfId="0" applyFont="1" applyFill="1" applyBorder="1" applyAlignment="1">
      <alignment horizontal="center" wrapText="1"/>
    </xf>
    <xf numFmtId="0" fontId="13" fillId="2" borderId="41" xfId="0" applyFont="1" applyFill="1" applyBorder="1" applyAlignment="1">
      <alignment horizontal="center" wrapText="1"/>
    </xf>
    <xf numFmtId="0" fontId="13" fillId="2" borderId="3" xfId="0" applyFont="1" applyFill="1" applyBorder="1" applyAlignment="1">
      <alignment horizontal="center" wrapText="1"/>
    </xf>
    <xf numFmtId="0" fontId="13" fillId="2" borderId="51" xfId="0" applyFont="1" applyFill="1" applyBorder="1" applyAlignment="1">
      <alignment horizontal="center" wrapText="1"/>
    </xf>
    <xf numFmtId="0" fontId="13" fillId="2" borderId="52" xfId="0" applyFont="1" applyFill="1" applyBorder="1" applyAlignment="1">
      <alignment horizontal="center" wrapText="1"/>
    </xf>
    <xf numFmtId="0" fontId="13" fillId="2" borderId="34" xfId="0" applyFont="1" applyFill="1" applyBorder="1" applyAlignment="1">
      <alignment horizontal="center" wrapText="1"/>
    </xf>
    <xf numFmtId="0" fontId="13" fillId="2" borderId="37" xfId="0" applyFont="1" applyFill="1" applyBorder="1" applyAlignment="1">
      <alignment horizontal="center" wrapText="1"/>
    </xf>
    <xf numFmtId="0" fontId="1" fillId="2" borderId="6" xfId="0" applyFont="1" applyFill="1" applyBorder="1" applyAlignment="1">
      <alignment horizontal="center"/>
    </xf>
    <xf numFmtId="0" fontId="1" fillId="2" borderId="7" xfId="0" applyFont="1" applyFill="1" applyBorder="1" applyAlignment="1">
      <alignment horizontal="center"/>
    </xf>
    <xf numFmtId="0" fontId="1" fillId="2" borderId="8" xfId="0" applyFont="1" applyFill="1" applyBorder="1" applyAlignment="1">
      <alignment horizontal="center"/>
    </xf>
    <xf numFmtId="0" fontId="13" fillId="2" borderId="34" xfId="0" applyFont="1" applyFill="1" applyBorder="1" applyAlignment="1">
      <alignment horizontal="center"/>
    </xf>
    <xf numFmtId="0" fontId="13" fillId="2" borderId="51" xfId="0" applyFont="1" applyFill="1" applyBorder="1" applyAlignment="1">
      <alignment horizontal="center"/>
    </xf>
    <xf numFmtId="0" fontId="13" fillId="2" borderId="1" xfId="0" applyFont="1" applyFill="1" applyBorder="1" applyAlignment="1">
      <alignment horizontal="center"/>
    </xf>
    <xf numFmtId="0" fontId="13" fillId="2" borderId="35" xfId="0" applyFont="1" applyFill="1" applyBorder="1" applyAlignment="1">
      <alignment horizontal="center"/>
    </xf>
    <xf numFmtId="0" fontId="13" fillId="2" borderId="2" xfId="0" applyFont="1" applyFill="1" applyBorder="1" applyAlignment="1">
      <alignment horizontal="center" wrapText="1"/>
    </xf>
    <xf numFmtId="0" fontId="16" fillId="0" borderId="41" xfId="0" applyFont="1" applyBorder="1" applyAlignment="1">
      <alignment horizontal="center" wrapText="1"/>
    </xf>
    <xf numFmtId="0" fontId="16" fillId="0" borderId="35" xfId="0" applyFont="1" applyBorder="1" applyAlignment="1">
      <alignment horizontal="center" wrapText="1"/>
    </xf>
    <xf numFmtId="0" fontId="16" fillId="0" borderId="3" xfId="0" applyFont="1" applyBorder="1" applyAlignment="1">
      <alignment horizontal="center" wrapText="1"/>
    </xf>
  </cellXfs>
  <cellStyles count="5">
    <cellStyle name="Hyperlink" xfId="4" builtinId="8"/>
    <cellStyle name="Normal" xfId="0" builtinId="0" customBuiltin="1"/>
    <cellStyle name="Normal 2" xfId="2" xr:uid="{3B885966-5D60-4239-9CAA-61962E998E20}"/>
    <cellStyle name="Normal 4" xfId="3" xr:uid="{EE680740-7D32-4421-AB29-DF4322DA1108}"/>
    <cellStyle name="Percent" xfId="1" builtinId="5"/>
  </cellStyles>
  <dxfs count="66">
    <dxf>
      <font>
        <strike val="0"/>
        <outline val="0"/>
        <shadow val="0"/>
        <u val="none"/>
        <vertAlign val="baseline"/>
        <name val="Calibri"/>
        <family val="2"/>
        <scheme val="minor"/>
      </font>
      <border diagonalUp="0" diagonalDown="0" outline="0">
        <left style="thin">
          <color indexed="64"/>
        </left>
        <right/>
        <top style="thin">
          <color indexed="64"/>
        </top>
        <bottom style="thin">
          <color indexed="64"/>
        </bottom>
      </border>
    </dxf>
    <dxf>
      <font>
        <strike val="0"/>
        <outline val="0"/>
        <shadow val="0"/>
        <u val="none"/>
        <vertAlign val="baseline"/>
        <name val="Calibri"/>
        <family val="2"/>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minor"/>
      </font>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minor"/>
      </font>
    </dxf>
    <dxf>
      <border outline="0">
        <bottom style="thin">
          <color indexed="64"/>
        </bottom>
      </border>
    </dxf>
    <dxf>
      <font>
        <b/>
        <i val="0"/>
        <strike val="0"/>
        <condense val="0"/>
        <extend val="0"/>
        <outline val="0"/>
        <shadow val="0"/>
        <u val="none"/>
        <vertAlign val="baseline"/>
        <sz val="10"/>
        <color rgb="FF000000"/>
        <name val="Calibri"/>
        <family val="2"/>
        <scheme val="minor"/>
      </font>
      <border diagonalUp="0" diagonalDown="0" outline="0">
        <left style="thin">
          <color indexed="64"/>
        </left>
        <right style="thin">
          <color indexed="64"/>
        </right>
        <top/>
        <bottom/>
      </border>
    </dxf>
    <dxf>
      <font>
        <strike val="0"/>
        <outline val="0"/>
        <shadow val="0"/>
        <u val="none"/>
        <vertAlign val="baseline"/>
        <name val="Calibri"/>
        <family val="2"/>
        <scheme val="minor"/>
      </font>
      <fill>
        <patternFill patternType="solid">
          <fgColor indexed="64"/>
          <bgColor theme="0"/>
        </patternFill>
      </fill>
    </dxf>
    <dxf>
      <font>
        <strike val="0"/>
        <outline val="0"/>
        <shadow val="0"/>
        <u val="none"/>
        <vertAlign val="baseline"/>
        <name val="Calibri"/>
        <family val="2"/>
        <scheme val="minor"/>
      </font>
      <numFmt numFmtId="2" formatCode="0.00"/>
      <fill>
        <patternFill patternType="solid">
          <fgColor indexed="64"/>
          <bgColor theme="0"/>
        </patternFill>
      </fill>
      <border diagonalUp="0" diagonalDown="0" outline="0">
        <left style="thin">
          <color indexed="64"/>
        </left>
        <right style="thin">
          <color indexed="64"/>
        </right>
        <top/>
        <bottom/>
      </border>
    </dxf>
    <dxf>
      <font>
        <strike val="0"/>
        <outline val="0"/>
        <shadow val="0"/>
        <u val="none"/>
        <vertAlign val="baseline"/>
        <name val="Calibri"/>
        <family val="2"/>
        <scheme val="minor"/>
      </font>
      <fill>
        <patternFill patternType="solid">
          <fgColor indexed="64"/>
          <bgColor theme="0"/>
        </patternFill>
      </fill>
      <border diagonalUp="0" diagonalDown="0" outline="0">
        <left/>
        <right style="thin">
          <color indexed="64"/>
        </right>
        <top/>
        <bottom/>
      </border>
    </dxf>
    <dxf>
      <font>
        <strike val="0"/>
        <outline val="0"/>
        <shadow val="0"/>
        <u val="none"/>
        <vertAlign val="baseline"/>
        <name val="Calibri"/>
        <family val="2"/>
        <scheme val="minor"/>
      </font>
      <fill>
        <patternFill patternType="solid">
          <fgColor indexed="64"/>
          <bgColor theme="0"/>
        </patternFill>
      </fill>
    </dxf>
    <dxf>
      <font>
        <b/>
        <i val="0"/>
        <strike val="0"/>
        <condense val="0"/>
        <extend val="0"/>
        <outline val="0"/>
        <shadow val="0"/>
        <u val="none"/>
        <vertAlign val="baseline"/>
        <sz val="10"/>
        <color rgb="FF000000"/>
        <name val="Calibri"/>
        <family val="2"/>
        <scheme val="minor"/>
      </font>
    </dxf>
    <dxf>
      <border diagonalUp="0" diagonalDown="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2" formatCode="0.00"/>
      <fill>
        <patternFill>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2" formatCode="0.00"/>
      <fill>
        <patternFill>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165" formatCode="0.0"/>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right/>
        <top/>
        <bottom/>
      </border>
    </dxf>
    <dxf>
      <font>
        <strike val="0"/>
        <outline val="0"/>
        <shadow val="0"/>
        <u val="none"/>
        <vertAlign val="baseline"/>
        <color theme="1"/>
        <name val="Calibri"/>
        <family val="2"/>
        <scheme val="minor"/>
      </font>
      <numFmt numFmtId="165" formatCode="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outline="0">
        <left style="thin">
          <color indexed="64"/>
        </left>
        <right style="thin">
          <color indexed="64"/>
        </right>
        <top/>
        <bottom/>
      </border>
    </dxf>
    <dxf>
      <font>
        <strike val="0"/>
        <outline val="0"/>
        <shadow val="0"/>
        <u val="none"/>
        <vertAlign val="baseline"/>
        <name val="Calibri"/>
        <family val="2"/>
        <scheme val="minor"/>
      </font>
      <numFmt numFmtId="2" formatCode="0.00"/>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border diagonalUp="0" diagonalDown="0" outline="0">
        <left style="thin">
          <color indexed="64"/>
        </left>
        <right style="thin">
          <color indexed="64"/>
        </right>
        <top/>
        <bottom/>
      </border>
    </dxf>
    <dxf>
      <font>
        <strike val="0"/>
        <outline val="0"/>
        <shadow val="0"/>
        <u val="none"/>
        <vertAlign val="baseline"/>
        <name val="Calibri"/>
        <family val="2"/>
        <scheme val="minor"/>
      </font>
      <numFmt numFmtId="165" formatCode="0.0"/>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border diagonalUp="0" diagonalDown="0" outline="0">
        <left style="thin">
          <color indexed="64"/>
        </left>
        <right style="thin">
          <color indexed="64"/>
        </right>
        <top/>
        <bottom/>
      </border>
    </dxf>
    <dxf>
      <font>
        <strike val="0"/>
        <outline val="0"/>
        <shadow val="0"/>
        <u val="none"/>
        <vertAlign val="baseline"/>
        <name val="Calibri"/>
        <family val="2"/>
        <scheme val="minor"/>
      </font>
      <numFmt numFmtId="165"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border diagonalUp="0" diagonalDown="0" outline="0">
        <left style="thin">
          <color indexed="64"/>
        </left>
        <right style="thin">
          <color indexed="64"/>
        </right>
        <top/>
        <bottom/>
      </border>
    </dxf>
    <dxf>
      <font>
        <strike val="0"/>
        <outline val="0"/>
        <shadow val="0"/>
        <u val="none"/>
        <vertAlign val="baseline"/>
        <name val="Calibri"/>
        <family val="2"/>
        <scheme val="minor"/>
      </font>
      <numFmt numFmtId="2"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right style="thin">
          <color indexed="64"/>
        </right>
        <top/>
        <bottom/>
      </border>
    </dxf>
    <dxf>
      <font>
        <strike val="0"/>
        <outline val="0"/>
        <shadow val="0"/>
        <u val="none"/>
        <vertAlign val="baseline"/>
        <name val="Calibri"/>
        <family val="2"/>
        <scheme val="minor"/>
      </font>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family val="2"/>
        <scheme val="none"/>
      </font>
      <alignment horizontal="left" vertical="center" textRotation="0" wrapText="0" indent="0" justifyLastLine="0" shrinkToFit="0" readingOrder="0"/>
    </dxf>
    <dxf>
      <font>
        <b val="0"/>
        <strike val="0"/>
        <outline val="0"/>
        <shadow val="0"/>
        <u val="none"/>
        <vertAlign val="baseline"/>
        <sz val="10"/>
        <color rgb="FF000000"/>
        <name val="Calibri"/>
        <family val="2"/>
        <scheme val="minor"/>
      </font>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name val="Calibri"/>
        <family val="2"/>
        <scheme val="minor"/>
      </font>
    </dxf>
    <dxf>
      <border outline="0">
        <bottom style="medium">
          <color indexed="64"/>
        </bottom>
      </border>
    </dxf>
    <dxf>
      <font>
        <strike val="0"/>
        <outline val="0"/>
        <shadow val="0"/>
        <u val="none"/>
        <vertAlign val="baseline"/>
        <name val="Calibri"/>
        <family val="2"/>
        <scheme val="minor"/>
      </font>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5757"/>
        </patternFill>
      </fill>
    </dxf>
    <dxf>
      <fill>
        <patternFill>
          <bgColor theme="9" tint="0.59996337778862885"/>
        </patternFill>
      </fill>
    </dxf>
    <dxf>
      <fill>
        <patternFill>
          <bgColor theme="9" tint="0.59996337778862885"/>
        </patternFill>
      </fill>
    </dxf>
    <dxf>
      <fill>
        <patternFill>
          <bgColor rgb="FFFF6969"/>
        </patternFill>
      </fill>
    </dxf>
    <dxf>
      <fill>
        <patternFill>
          <bgColor rgb="FFFF7171"/>
        </patternFill>
      </fill>
    </dxf>
    <dxf>
      <fill>
        <patternFill>
          <bgColor rgb="FF00B050"/>
        </patternFill>
      </fill>
    </dxf>
    <dxf>
      <fill>
        <patternFill>
          <bgColor rgb="FFFF0000"/>
        </patternFill>
      </fill>
    </dxf>
    <dxf>
      <fill>
        <patternFill>
          <bgColor rgb="FFDDEBF7"/>
        </patternFill>
      </fill>
    </dxf>
    <dxf>
      <fill>
        <patternFill>
          <bgColor rgb="FFDDEBF7"/>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theme="7" tint="0.79998168889431442"/>
        </patternFill>
      </fill>
    </dxf>
    <dxf>
      <fill>
        <patternFill>
          <bgColor rgb="FFFF0000"/>
        </patternFill>
      </fill>
    </dxf>
    <dxf>
      <fill>
        <patternFill>
          <bgColor rgb="FFFFF2CC"/>
        </patternFill>
      </fill>
    </dxf>
    <dxf>
      <fill>
        <patternFill>
          <bgColor rgb="FFFFF2CC"/>
        </patternFill>
      </fill>
    </dxf>
    <dxf>
      <fill>
        <patternFill>
          <bgColor rgb="FFFFF2CC"/>
        </patternFill>
      </fill>
    </dxf>
    <dxf>
      <fill>
        <patternFill>
          <bgColor rgb="FFD6F4FE"/>
        </patternFill>
      </fill>
    </dxf>
    <dxf>
      <fill>
        <patternFill>
          <bgColor rgb="FFD6F4FE"/>
        </patternFill>
      </fill>
    </dxf>
  </dxfs>
  <tableStyles count="0" defaultTableStyle="TableStyleMedium2" defaultPivotStyle="PivotStyleLight16"/>
  <colors>
    <mruColors>
      <color rgb="FFFFF2CC"/>
      <color rgb="FFDDEBF7"/>
      <color rgb="FFFFFFFF"/>
      <color rgb="FFD6F4FE"/>
      <color rgb="FFFFFF99"/>
      <color rgb="FFCAF2FE"/>
      <color rgb="FF96E5FE"/>
      <color rgb="FFD19FFF"/>
      <color rgb="FFE575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TP 'Zero'</a:t>
            </a:r>
            <a:r>
              <a:rPr lang="en-GB" baseline="0"/>
              <a:t> value graph</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'Graph Calculations'!$F$5:$Z$5</c:f>
              <c:numCache>
                <c:formatCode>General</c:formatCode>
                <c:ptCount val="21"/>
                <c:pt idx="0">
                  <c:v>100</c:v>
                </c:pt>
                <c:pt idx="1">
                  <c:v>95</c:v>
                </c:pt>
                <c:pt idx="2">
                  <c:v>90</c:v>
                </c:pt>
                <c:pt idx="3">
                  <c:v>85</c:v>
                </c:pt>
                <c:pt idx="4">
                  <c:v>80</c:v>
                </c:pt>
                <c:pt idx="5">
                  <c:v>75</c:v>
                </c:pt>
                <c:pt idx="6">
                  <c:v>70</c:v>
                </c:pt>
                <c:pt idx="7">
                  <c:v>65</c:v>
                </c:pt>
                <c:pt idx="8">
                  <c:v>60</c:v>
                </c:pt>
                <c:pt idx="9">
                  <c:v>55</c:v>
                </c:pt>
                <c:pt idx="10">
                  <c:v>50</c:v>
                </c:pt>
                <c:pt idx="11">
                  <c:v>45</c:v>
                </c:pt>
                <c:pt idx="12">
                  <c:v>40</c:v>
                </c:pt>
                <c:pt idx="13">
                  <c:v>35</c:v>
                </c:pt>
                <c:pt idx="14">
                  <c:v>30</c:v>
                </c:pt>
                <c:pt idx="15">
                  <c:v>25</c:v>
                </c:pt>
                <c:pt idx="16">
                  <c:v>20</c:v>
                </c:pt>
                <c:pt idx="17">
                  <c:v>15</c:v>
                </c:pt>
                <c:pt idx="18">
                  <c:v>10</c:v>
                </c:pt>
                <c:pt idx="19">
                  <c:v>5</c:v>
                </c:pt>
                <c:pt idx="20">
                  <c:v>0</c:v>
                </c:pt>
              </c:numCache>
            </c:numRef>
          </c:xVal>
          <c:yVal>
            <c:numRef>
              <c:f>'Graph Calculations'!$F$14:$Z$14</c:f>
              <c:numCache>
                <c:formatCode>0.00</c:formatCode>
                <c:ptCount val="21"/>
                <c:pt idx="0">
                  <c:v>-4.7044221873437868</c:v>
                </c:pt>
                <c:pt idx="1">
                  <c:v>-0.77070788827791947</c:v>
                </c:pt>
                <c:pt idx="2">
                  <c:v>3.1630064107879488</c:v>
                </c:pt>
                <c:pt idx="3">
                  <c:v>7.0967207098538099</c:v>
                </c:pt>
                <c:pt idx="4">
                  <c:v>11.030435008919683</c:v>
                </c:pt>
                <c:pt idx="5">
                  <c:v>14.964149307985547</c:v>
                </c:pt>
                <c:pt idx="6">
                  <c:v>18.897863607051406</c:v>
                </c:pt>
                <c:pt idx="7">
                  <c:v>22.831577906117282</c:v>
                </c:pt>
                <c:pt idx="8">
                  <c:v>26.765292205183155</c:v>
                </c:pt>
                <c:pt idx="9">
                  <c:v>30.699006504249013</c:v>
                </c:pt>
                <c:pt idx="10">
                  <c:v>34.632720803314882</c:v>
                </c:pt>
                <c:pt idx="11">
                  <c:v>38.566435102380773</c:v>
                </c:pt>
                <c:pt idx="12">
                  <c:v>42.500149401446599</c:v>
                </c:pt>
                <c:pt idx="13">
                  <c:v>46.433863700512489</c:v>
                </c:pt>
                <c:pt idx="14">
                  <c:v>50.367577999578344</c:v>
                </c:pt>
                <c:pt idx="15">
                  <c:v>54.301292298644213</c:v>
                </c:pt>
                <c:pt idx="16">
                  <c:v>58.235006597710097</c:v>
                </c:pt>
                <c:pt idx="17">
                  <c:v>62.168720896775945</c:v>
                </c:pt>
                <c:pt idx="18">
                  <c:v>66.102435195841821</c:v>
                </c:pt>
                <c:pt idx="19">
                  <c:v>70.036149494907676</c:v>
                </c:pt>
                <c:pt idx="20">
                  <c:v>73.969863793973545</c:v>
                </c:pt>
              </c:numCache>
            </c:numRef>
          </c:yVal>
          <c:smooth val="0"/>
          <c:extLst>
            <c:ext xmlns:c16="http://schemas.microsoft.com/office/drawing/2014/chart" uri="{C3380CC4-5D6E-409C-BE32-E72D297353CC}">
              <c16:uniqueId val="{00000000-4C2B-492F-93E0-30C6384BA9F1}"/>
            </c:ext>
          </c:extLst>
        </c:ser>
        <c:dLbls>
          <c:showLegendKey val="0"/>
          <c:showVal val="0"/>
          <c:showCatName val="0"/>
          <c:showSerName val="0"/>
          <c:showPercent val="0"/>
          <c:showBubbleSize val="0"/>
        </c:dLbls>
        <c:axId val="737515360"/>
        <c:axId val="737514704"/>
      </c:scatterChart>
      <c:valAx>
        <c:axId val="737515360"/>
        <c:scaling>
          <c:orientation val="minMax"/>
          <c:max val="1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baseline="0"/>
                  <a:t>% of proposed development set aside </a:t>
                </a:r>
                <a:endParaRPr lang="en-GB"/>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b"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7514704"/>
        <c:crosses val="autoZero"/>
        <c:crossBetween val="midCat"/>
        <c:majorUnit val="5"/>
      </c:valAx>
      <c:valAx>
        <c:axId val="7375147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Total phosphorous</a:t>
                </a:r>
                <a:r>
                  <a:rPr lang="en-GB" baseline="0"/>
                  <a:t> budget (Kg/year)</a:t>
                </a:r>
              </a:p>
            </c:rich>
          </c:tx>
          <c:layout>
            <c:manualLayout>
              <c:xMode val="edge"/>
              <c:yMode val="edge"/>
              <c:x val="1.2687627946617156E-2"/>
              <c:y val="0.2292142676933682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751536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TN 'Zero'</a:t>
            </a:r>
            <a:r>
              <a:rPr lang="en-GB" baseline="0"/>
              <a:t> value graph</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TN</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'Graph Calculations'!$F$5:$Z$5</c:f>
              <c:numCache>
                <c:formatCode>General</c:formatCode>
                <c:ptCount val="21"/>
                <c:pt idx="0">
                  <c:v>100</c:v>
                </c:pt>
                <c:pt idx="1">
                  <c:v>95</c:v>
                </c:pt>
                <c:pt idx="2">
                  <c:v>90</c:v>
                </c:pt>
                <c:pt idx="3">
                  <c:v>85</c:v>
                </c:pt>
                <c:pt idx="4">
                  <c:v>80</c:v>
                </c:pt>
                <c:pt idx="5">
                  <c:v>75</c:v>
                </c:pt>
                <c:pt idx="6">
                  <c:v>70</c:v>
                </c:pt>
                <c:pt idx="7">
                  <c:v>65</c:v>
                </c:pt>
                <c:pt idx="8">
                  <c:v>60</c:v>
                </c:pt>
                <c:pt idx="9">
                  <c:v>55</c:v>
                </c:pt>
                <c:pt idx="10">
                  <c:v>50</c:v>
                </c:pt>
                <c:pt idx="11">
                  <c:v>45</c:v>
                </c:pt>
                <c:pt idx="12">
                  <c:v>40</c:v>
                </c:pt>
                <c:pt idx="13">
                  <c:v>35</c:v>
                </c:pt>
                <c:pt idx="14">
                  <c:v>30</c:v>
                </c:pt>
                <c:pt idx="15">
                  <c:v>25</c:v>
                </c:pt>
                <c:pt idx="16">
                  <c:v>20</c:v>
                </c:pt>
                <c:pt idx="17">
                  <c:v>15</c:v>
                </c:pt>
                <c:pt idx="18">
                  <c:v>10</c:v>
                </c:pt>
                <c:pt idx="19">
                  <c:v>5</c:v>
                </c:pt>
                <c:pt idx="20">
                  <c:v>0</c:v>
                </c:pt>
              </c:numCache>
            </c:numRef>
          </c:xVal>
          <c:yVal>
            <c:numRef>
              <c:f>'Graph Calculations'!$F$26:$Z$26</c:f>
              <c:numCache>
                <c:formatCode>0.00</c:formatCode>
                <c:ptCount val="21"/>
                <c:pt idx="0">
                  <c:v>-16.568342152301852</c:v>
                </c:pt>
                <c:pt idx="1">
                  <c:v>88.541609817100834</c:v>
                </c:pt>
                <c:pt idx="2">
                  <c:v>193.65156178650352</c:v>
                </c:pt>
                <c:pt idx="3">
                  <c:v>298.76151375590604</c:v>
                </c:pt>
                <c:pt idx="4">
                  <c:v>403.87146572530889</c:v>
                </c:pt>
                <c:pt idx="5">
                  <c:v>508.98141769471147</c:v>
                </c:pt>
                <c:pt idx="6">
                  <c:v>614.09136966411393</c:v>
                </c:pt>
                <c:pt idx="7">
                  <c:v>719.20132163351684</c:v>
                </c:pt>
                <c:pt idx="8">
                  <c:v>824.31127360291964</c:v>
                </c:pt>
                <c:pt idx="9">
                  <c:v>929.42122557232199</c:v>
                </c:pt>
                <c:pt idx="10">
                  <c:v>1034.5311775417249</c:v>
                </c:pt>
                <c:pt idx="11">
                  <c:v>1139.6411295111279</c:v>
                </c:pt>
                <c:pt idx="12">
                  <c:v>1244.7510814805298</c:v>
                </c:pt>
                <c:pt idx="13">
                  <c:v>1349.8610334499328</c:v>
                </c:pt>
                <c:pt idx="14">
                  <c:v>1454.9709854193356</c:v>
                </c:pt>
                <c:pt idx="15">
                  <c:v>1560.0809373887378</c:v>
                </c:pt>
                <c:pt idx="16">
                  <c:v>1665.1908893581412</c:v>
                </c:pt>
                <c:pt idx="17">
                  <c:v>1770.3008413275434</c:v>
                </c:pt>
                <c:pt idx="18">
                  <c:v>1875.4107932969459</c:v>
                </c:pt>
                <c:pt idx="19">
                  <c:v>1980.520745266349</c:v>
                </c:pt>
                <c:pt idx="20">
                  <c:v>2085.6306972357515</c:v>
                </c:pt>
              </c:numCache>
            </c:numRef>
          </c:yVal>
          <c:smooth val="0"/>
          <c:extLst>
            <c:ext xmlns:c16="http://schemas.microsoft.com/office/drawing/2014/chart" uri="{C3380CC4-5D6E-409C-BE32-E72D297353CC}">
              <c16:uniqueId val="{00000000-6B97-4E7D-A5B5-13B572A352B6}"/>
            </c:ext>
          </c:extLst>
        </c:ser>
        <c:dLbls>
          <c:showLegendKey val="0"/>
          <c:showVal val="0"/>
          <c:showCatName val="0"/>
          <c:showSerName val="0"/>
          <c:showPercent val="0"/>
          <c:showBubbleSize val="0"/>
        </c:dLbls>
        <c:axId val="737515360"/>
        <c:axId val="737514704"/>
      </c:scatterChart>
      <c:valAx>
        <c:axId val="737515360"/>
        <c:scaling>
          <c:orientation val="minMax"/>
          <c:max val="1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baseline="0"/>
                  <a:t>% of proposed development set aside </a:t>
                </a:r>
                <a:endParaRPr lang="en-GB"/>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b"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7514704"/>
        <c:crosses val="autoZero"/>
        <c:crossBetween val="midCat"/>
        <c:majorUnit val="5"/>
      </c:valAx>
      <c:valAx>
        <c:axId val="7375147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Total nitrogen</a:t>
                </a:r>
                <a:r>
                  <a:rPr lang="en-GB" baseline="0"/>
                  <a:t> budget (Kg/year)</a:t>
                </a:r>
              </a:p>
            </c:rich>
          </c:tx>
          <c:layout>
            <c:manualLayout>
              <c:xMode val="edge"/>
              <c:yMode val="edge"/>
              <c:x val="1.2687627946617156E-2"/>
              <c:y val="0.2292142676933682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751536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gif"/><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2.jpg"/></Relationships>
</file>

<file path=xl/drawings/drawing1.xml><?xml version="1.0" encoding="utf-8"?>
<xdr:wsDr xmlns:xdr="http://schemas.openxmlformats.org/drawingml/2006/spreadsheetDrawing" xmlns:a="http://schemas.openxmlformats.org/drawingml/2006/main">
  <xdr:twoCellAnchor editAs="oneCell">
    <xdr:from>
      <xdr:col>15</xdr:col>
      <xdr:colOff>1591603</xdr:colOff>
      <xdr:row>1</xdr:row>
      <xdr:rowOff>160197</xdr:rowOff>
    </xdr:from>
    <xdr:to>
      <xdr:col>15</xdr:col>
      <xdr:colOff>3351072</xdr:colOff>
      <xdr:row>6</xdr:row>
      <xdr:rowOff>250782</xdr:rowOff>
    </xdr:to>
    <xdr:pic>
      <xdr:nvPicPr>
        <xdr:cNvPr id="2" name="Picture 1" descr="See the source image">
          <a:extLst>
            <a:ext uri="{FF2B5EF4-FFF2-40B4-BE49-F238E27FC236}">
              <a16:creationId xmlns:a16="http://schemas.microsoft.com/office/drawing/2014/main" id="{7DC3AFCA-7B67-4E9C-864C-6853F41453F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82" t="4554" r="3865" b="5890"/>
        <a:stretch/>
      </xdr:blipFill>
      <xdr:spPr bwMode="auto">
        <a:xfrm>
          <a:off x="12348118" y="323758"/>
          <a:ext cx="1749944" cy="812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236797</xdr:colOff>
      <xdr:row>215</xdr:row>
      <xdr:rowOff>18789</xdr:rowOff>
    </xdr:from>
    <xdr:to>
      <xdr:col>12</xdr:col>
      <xdr:colOff>56020</xdr:colOff>
      <xdr:row>215</xdr:row>
      <xdr:rowOff>973614</xdr:rowOff>
    </xdr:to>
    <xdr:pic>
      <xdr:nvPicPr>
        <xdr:cNvPr id="4" name="Picture 3" descr="Royal HaskoningDHV company logo">
          <a:extLst>
            <a:ext uri="{FF2B5EF4-FFF2-40B4-BE49-F238E27FC236}">
              <a16:creationId xmlns:a16="http://schemas.microsoft.com/office/drawing/2014/main" id="{39785F44-A4D5-421F-A6C6-04FB76BBDA11}"/>
            </a:ext>
          </a:extLst>
        </xdr:cNvPr>
        <xdr:cNvPicPr>
          <a:picLocks noChangeAspect="1"/>
        </xdr:cNvPicPr>
      </xdr:nvPicPr>
      <xdr:blipFill>
        <a:blip xmlns:r="http://schemas.openxmlformats.org/officeDocument/2006/relationships" r:embed="rId2"/>
        <a:stretch>
          <a:fillRect/>
        </a:stretch>
      </xdr:blipFill>
      <xdr:spPr>
        <a:xfrm>
          <a:off x="5065972" y="58197489"/>
          <a:ext cx="1914552" cy="954825"/>
        </a:xfrm>
        <a:prstGeom prst="rect">
          <a:avLst/>
        </a:prstGeom>
      </xdr:spPr>
    </xdr:pic>
    <xdr:clientData/>
  </xdr:twoCellAnchor>
  <xdr:twoCellAnchor editAs="oneCell">
    <xdr:from>
      <xdr:col>15</xdr:col>
      <xdr:colOff>1866060</xdr:colOff>
      <xdr:row>6</xdr:row>
      <xdr:rowOff>649003</xdr:rowOff>
    </xdr:from>
    <xdr:to>
      <xdr:col>15</xdr:col>
      <xdr:colOff>3425945</xdr:colOff>
      <xdr:row>6</xdr:row>
      <xdr:rowOff>1105720</xdr:rowOff>
    </xdr:to>
    <xdr:pic>
      <xdr:nvPicPr>
        <xdr:cNvPr id="5" name="Picture 4" descr="Norfolk County Council company logo">
          <a:extLst>
            <a:ext uri="{FF2B5EF4-FFF2-40B4-BE49-F238E27FC236}">
              <a16:creationId xmlns:a16="http://schemas.microsoft.com/office/drawing/2014/main" id="{97CDE3B0-D969-4D9E-95C6-604A08986424}"/>
            </a:ext>
          </a:extLst>
        </xdr:cNvPr>
        <xdr:cNvPicPr>
          <a:picLocks noChangeAspect="1"/>
        </xdr:cNvPicPr>
      </xdr:nvPicPr>
      <xdr:blipFill>
        <a:blip xmlns:r="http://schemas.openxmlformats.org/officeDocument/2006/relationships" r:embed="rId3"/>
        <a:stretch>
          <a:fillRect/>
        </a:stretch>
      </xdr:blipFill>
      <xdr:spPr>
        <a:xfrm>
          <a:off x="12622575" y="1534155"/>
          <a:ext cx="1556710" cy="456717"/>
        </a:xfrm>
        <a:prstGeom prst="rect">
          <a:avLst/>
        </a:prstGeom>
      </xdr:spPr>
    </xdr:pic>
    <xdr:clientData/>
  </xdr:twoCellAnchor>
  <xdr:twoCellAnchor editAs="oneCell">
    <xdr:from>
      <xdr:col>12</xdr:col>
      <xdr:colOff>1932106</xdr:colOff>
      <xdr:row>3</xdr:row>
      <xdr:rowOff>8150</xdr:rowOff>
    </xdr:from>
    <xdr:to>
      <xdr:col>13</xdr:col>
      <xdr:colOff>554803</xdr:colOff>
      <xdr:row>6</xdr:row>
      <xdr:rowOff>106392</xdr:rowOff>
    </xdr:to>
    <xdr:pic>
      <xdr:nvPicPr>
        <xdr:cNvPr id="6" name="Picture 5" descr="Great Yarmouth Borough Council logo">
          <a:extLst>
            <a:ext uri="{FF2B5EF4-FFF2-40B4-BE49-F238E27FC236}">
              <a16:creationId xmlns:a16="http://schemas.microsoft.com/office/drawing/2014/main" id="{D5AD752F-1CBD-41D1-A65F-C06F585E8875}"/>
            </a:ext>
          </a:extLst>
        </xdr:cNvPr>
        <xdr:cNvPicPr>
          <a:picLocks noChangeAspect="1"/>
        </xdr:cNvPicPr>
      </xdr:nvPicPr>
      <xdr:blipFill>
        <a:blip xmlns:r="http://schemas.openxmlformats.org/officeDocument/2006/relationships" r:embed="rId4"/>
        <a:stretch>
          <a:fillRect/>
        </a:stretch>
      </xdr:blipFill>
      <xdr:spPr>
        <a:xfrm>
          <a:off x="8387939" y="508453"/>
          <a:ext cx="1932393" cy="483091"/>
        </a:xfrm>
        <a:prstGeom prst="rect">
          <a:avLst/>
        </a:prstGeom>
      </xdr:spPr>
    </xdr:pic>
    <xdr:clientData/>
  </xdr:twoCellAnchor>
  <xdr:twoCellAnchor editAs="oneCell">
    <xdr:from>
      <xdr:col>8</xdr:col>
      <xdr:colOff>279424</xdr:colOff>
      <xdr:row>6</xdr:row>
      <xdr:rowOff>469046</xdr:rowOff>
    </xdr:from>
    <xdr:to>
      <xdr:col>10</xdr:col>
      <xdr:colOff>178257</xdr:colOff>
      <xdr:row>6</xdr:row>
      <xdr:rowOff>1106246</xdr:rowOff>
    </xdr:to>
    <xdr:pic>
      <xdr:nvPicPr>
        <xdr:cNvPr id="7" name="Picture 6" descr="North Norfolk District Council logo">
          <a:extLst>
            <a:ext uri="{FF2B5EF4-FFF2-40B4-BE49-F238E27FC236}">
              <a16:creationId xmlns:a16="http://schemas.microsoft.com/office/drawing/2014/main" id="{9CC77786-3FD3-4606-9137-890F0CB77B65}"/>
            </a:ext>
          </a:extLst>
        </xdr:cNvPr>
        <xdr:cNvPicPr>
          <a:picLocks noChangeAspect="1"/>
        </xdr:cNvPicPr>
      </xdr:nvPicPr>
      <xdr:blipFill>
        <a:blip xmlns:r="http://schemas.openxmlformats.org/officeDocument/2006/relationships" r:embed="rId5"/>
        <a:stretch>
          <a:fillRect/>
        </a:stretch>
      </xdr:blipFill>
      <xdr:spPr>
        <a:xfrm>
          <a:off x="4493515" y="1354198"/>
          <a:ext cx="1621193" cy="637200"/>
        </a:xfrm>
        <a:prstGeom prst="rect">
          <a:avLst/>
        </a:prstGeom>
      </xdr:spPr>
    </xdr:pic>
    <xdr:clientData/>
  </xdr:twoCellAnchor>
  <xdr:twoCellAnchor editAs="oneCell">
    <xdr:from>
      <xdr:col>11</xdr:col>
      <xdr:colOff>554046</xdr:colOff>
      <xdr:row>6</xdr:row>
      <xdr:rowOff>508529</xdr:rowOff>
    </xdr:from>
    <xdr:to>
      <xdr:col>12</xdr:col>
      <xdr:colOff>1731828</xdr:colOff>
      <xdr:row>6</xdr:row>
      <xdr:rowOff>1182743</xdr:rowOff>
    </xdr:to>
    <xdr:pic>
      <xdr:nvPicPr>
        <xdr:cNvPr id="9" name="Picture 8" descr="Norwich City Council logo">
          <a:extLst>
            <a:ext uri="{FF2B5EF4-FFF2-40B4-BE49-F238E27FC236}">
              <a16:creationId xmlns:a16="http://schemas.microsoft.com/office/drawing/2014/main" id="{BEC0F670-0654-4586-9CF0-2E23CF953317}"/>
            </a:ext>
          </a:extLst>
        </xdr:cNvPr>
        <xdr:cNvPicPr>
          <a:picLocks noChangeAspect="1"/>
        </xdr:cNvPicPr>
      </xdr:nvPicPr>
      <xdr:blipFill rotWithShape="1">
        <a:blip xmlns:r="http://schemas.openxmlformats.org/officeDocument/2006/relationships" r:embed="rId6"/>
        <a:srcRect l="6687" t="14562" r="6524" b="17361"/>
        <a:stretch/>
      </xdr:blipFill>
      <xdr:spPr>
        <a:xfrm>
          <a:off x="6403743" y="1393681"/>
          <a:ext cx="1771219" cy="674214"/>
        </a:xfrm>
        <a:prstGeom prst="rect">
          <a:avLst/>
        </a:prstGeom>
      </xdr:spPr>
    </xdr:pic>
    <xdr:clientData/>
  </xdr:twoCellAnchor>
  <xdr:twoCellAnchor editAs="oneCell">
    <xdr:from>
      <xdr:col>14</xdr:col>
      <xdr:colOff>305454</xdr:colOff>
      <xdr:row>6</xdr:row>
      <xdr:rowOff>580048</xdr:rowOff>
    </xdr:from>
    <xdr:to>
      <xdr:col>15</xdr:col>
      <xdr:colOff>1354263</xdr:colOff>
      <xdr:row>6</xdr:row>
      <xdr:rowOff>1102558</xdr:rowOff>
    </xdr:to>
    <xdr:pic>
      <xdr:nvPicPr>
        <xdr:cNvPr id="10" name="Picture 9" descr="South Norfolk Council logo">
          <a:extLst>
            <a:ext uri="{FF2B5EF4-FFF2-40B4-BE49-F238E27FC236}">
              <a16:creationId xmlns:a16="http://schemas.microsoft.com/office/drawing/2014/main" id="{BAA1334B-C209-42F6-A5C7-69F7E8BFE7F8}"/>
            </a:ext>
          </a:extLst>
        </xdr:cNvPr>
        <xdr:cNvPicPr>
          <a:picLocks noChangeAspect="1"/>
        </xdr:cNvPicPr>
      </xdr:nvPicPr>
      <xdr:blipFill rotWithShape="1">
        <a:blip xmlns:r="http://schemas.openxmlformats.org/officeDocument/2006/relationships" r:embed="rId7"/>
        <a:srcRect t="32004" b="31425"/>
        <a:stretch/>
      </xdr:blipFill>
      <xdr:spPr>
        <a:xfrm>
          <a:off x="10677121" y="1465200"/>
          <a:ext cx="1433657" cy="519335"/>
        </a:xfrm>
        <a:prstGeom prst="rect">
          <a:avLst/>
        </a:prstGeom>
      </xdr:spPr>
    </xdr:pic>
    <xdr:clientData/>
  </xdr:twoCellAnchor>
  <xdr:twoCellAnchor editAs="oneCell">
    <xdr:from>
      <xdr:col>12</xdr:col>
      <xdr:colOff>2238301</xdr:colOff>
      <xdr:row>6</xdr:row>
      <xdr:rowOff>475012</xdr:rowOff>
    </xdr:from>
    <xdr:to>
      <xdr:col>13</xdr:col>
      <xdr:colOff>373519</xdr:colOff>
      <xdr:row>6</xdr:row>
      <xdr:rowOff>1098419</xdr:rowOff>
    </xdr:to>
    <xdr:pic>
      <xdr:nvPicPr>
        <xdr:cNvPr id="11" name="Picture 10" descr="Borough Council of King's Lynn and West Norfolk logo">
          <a:extLst>
            <a:ext uri="{FF2B5EF4-FFF2-40B4-BE49-F238E27FC236}">
              <a16:creationId xmlns:a16="http://schemas.microsoft.com/office/drawing/2014/main" id="{9220F952-FE05-4FE5-A571-E45EC1BA2170}"/>
            </a:ext>
          </a:extLst>
        </xdr:cNvPr>
        <xdr:cNvPicPr>
          <a:picLocks noChangeAspect="1"/>
        </xdr:cNvPicPr>
      </xdr:nvPicPr>
      <xdr:blipFill rotWithShape="1">
        <a:blip xmlns:r="http://schemas.openxmlformats.org/officeDocument/2006/relationships" r:embed="rId8"/>
        <a:srcRect l="9986" t="22685" r="8506" b="25722"/>
        <a:stretch/>
      </xdr:blipFill>
      <xdr:spPr>
        <a:xfrm>
          <a:off x="8694134" y="1360164"/>
          <a:ext cx="1448089" cy="620232"/>
        </a:xfrm>
        <a:prstGeom prst="rect">
          <a:avLst/>
        </a:prstGeom>
      </xdr:spPr>
    </xdr:pic>
    <xdr:clientData/>
  </xdr:twoCellAnchor>
  <xdr:twoCellAnchor editAs="oneCell">
    <xdr:from>
      <xdr:col>8</xdr:col>
      <xdr:colOff>378214</xdr:colOff>
      <xdr:row>3</xdr:row>
      <xdr:rowOff>39554</xdr:rowOff>
    </xdr:from>
    <xdr:to>
      <xdr:col>9</xdr:col>
      <xdr:colOff>847723</xdr:colOff>
      <xdr:row>6</xdr:row>
      <xdr:rowOff>226719</xdr:rowOff>
    </xdr:to>
    <xdr:pic>
      <xdr:nvPicPr>
        <xdr:cNvPr id="12" name="Picture 11" descr="Broadland District Council logo">
          <a:extLst>
            <a:ext uri="{FF2B5EF4-FFF2-40B4-BE49-F238E27FC236}">
              <a16:creationId xmlns:a16="http://schemas.microsoft.com/office/drawing/2014/main" id="{1DADA515-70BB-4A62-AE82-E686B6F192D7}"/>
            </a:ext>
          </a:extLst>
        </xdr:cNvPr>
        <xdr:cNvPicPr>
          <a:picLocks noChangeAspect="1"/>
        </xdr:cNvPicPr>
      </xdr:nvPicPr>
      <xdr:blipFill rotWithShape="1">
        <a:blip xmlns:r="http://schemas.openxmlformats.org/officeDocument/2006/relationships" r:embed="rId9"/>
        <a:srcRect l="4630" t="17796" r="6685" b="23479"/>
        <a:stretch/>
      </xdr:blipFill>
      <xdr:spPr>
        <a:xfrm>
          <a:off x="4592305" y="539857"/>
          <a:ext cx="1300552" cy="568839"/>
        </a:xfrm>
        <a:prstGeom prst="rect">
          <a:avLst/>
        </a:prstGeom>
      </xdr:spPr>
    </xdr:pic>
    <xdr:clientData/>
  </xdr:twoCellAnchor>
  <xdr:twoCellAnchor editAs="oneCell">
    <xdr:from>
      <xdr:col>15</xdr:col>
      <xdr:colOff>46487</xdr:colOff>
      <xdr:row>2</xdr:row>
      <xdr:rowOff>28550</xdr:rowOff>
    </xdr:from>
    <xdr:to>
      <xdr:col>15</xdr:col>
      <xdr:colOff>1086302</xdr:colOff>
      <xdr:row>6</xdr:row>
      <xdr:rowOff>283345</xdr:rowOff>
    </xdr:to>
    <xdr:pic>
      <xdr:nvPicPr>
        <xdr:cNvPr id="13" name="Picture 12" descr="Breckland Council logo">
          <a:extLst>
            <a:ext uri="{FF2B5EF4-FFF2-40B4-BE49-F238E27FC236}">
              <a16:creationId xmlns:a16="http://schemas.microsoft.com/office/drawing/2014/main" id="{3CF935B2-CFCB-47C3-B20F-4F4D2B4D0471}"/>
            </a:ext>
          </a:extLst>
        </xdr:cNvPr>
        <xdr:cNvPicPr>
          <a:picLocks noChangeAspect="1"/>
        </xdr:cNvPicPr>
      </xdr:nvPicPr>
      <xdr:blipFill rotWithShape="1">
        <a:blip xmlns:r="http://schemas.openxmlformats.org/officeDocument/2006/relationships" r:embed="rId10"/>
        <a:srcRect t="11701" b="11701"/>
        <a:stretch/>
      </xdr:blipFill>
      <xdr:spPr>
        <a:xfrm>
          <a:off x="10803002" y="374914"/>
          <a:ext cx="1039815" cy="787232"/>
        </a:xfrm>
        <a:prstGeom prst="rect">
          <a:avLst/>
        </a:prstGeom>
      </xdr:spPr>
    </xdr:pic>
    <xdr:clientData/>
  </xdr:twoCellAnchor>
  <xdr:twoCellAnchor editAs="oneCell">
    <xdr:from>
      <xdr:col>11</xdr:col>
      <xdr:colOff>471440</xdr:colOff>
      <xdr:row>2</xdr:row>
      <xdr:rowOff>125076</xdr:rowOff>
    </xdr:from>
    <xdr:to>
      <xdr:col>12</xdr:col>
      <xdr:colOff>1770303</xdr:colOff>
      <xdr:row>6</xdr:row>
      <xdr:rowOff>240646</xdr:rowOff>
    </xdr:to>
    <xdr:pic>
      <xdr:nvPicPr>
        <xdr:cNvPr id="15" name="Picture 14" descr="Terms and conditions">
          <a:extLst>
            <a:ext uri="{FF2B5EF4-FFF2-40B4-BE49-F238E27FC236}">
              <a16:creationId xmlns:a16="http://schemas.microsoft.com/office/drawing/2014/main" id="{FC21D4CB-696D-4007-8DD9-72558DA0F7D4}"/>
            </a:ext>
          </a:extLst>
        </xdr:cNvPr>
        <xdr:cNvPicPr>
          <a:picLocks noChangeAspect="1" noChangeArrowheads="1"/>
        </xdr:cNvPicPr>
      </xdr:nvPicPr>
      <xdr:blipFill rotWithShape="1">
        <a:blip xmlns:r="http://schemas.openxmlformats.org/officeDocument/2006/relationships" r:embed="rId11">
          <a:extLst>
            <a:ext uri="{28A0092B-C50C-407E-A947-70E740481C1C}">
              <a14:useLocalDpi xmlns:a14="http://schemas.microsoft.com/office/drawing/2010/main" val="0"/>
            </a:ext>
          </a:extLst>
        </a:blip>
        <a:srcRect r="31892"/>
        <a:stretch/>
      </xdr:blipFill>
      <xdr:spPr bwMode="auto">
        <a:xfrm>
          <a:off x="6321137" y="471440"/>
          <a:ext cx="1905000" cy="6543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30545</xdr:colOff>
      <xdr:row>28</xdr:row>
      <xdr:rowOff>126369</xdr:rowOff>
    </xdr:from>
    <xdr:to>
      <xdr:col>21</xdr:col>
      <xdr:colOff>33618</xdr:colOff>
      <xdr:row>46</xdr:row>
      <xdr:rowOff>22413</xdr:rowOff>
    </xdr:to>
    <xdr:graphicFrame macro="">
      <xdr:nvGraphicFramePr>
        <xdr:cNvPr id="2" name="Chart 1" descr="Total Phosphorus Zero value calculator graph. X axis shows the percentage of the proposed development that would be set aside. The Y axis shows the total phosphorus load. ">
          <a:extLst>
            <a:ext uri="{FF2B5EF4-FFF2-40B4-BE49-F238E27FC236}">
              <a16:creationId xmlns:a16="http://schemas.microsoft.com/office/drawing/2014/main" id="{63640F61-E7DE-49AE-85BB-57BC51CF17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30442</xdr:colOff>
      <xdr:row>46</xdr:row>
      <xdr:rowOff>142502</xdr:rowOff>
    </xdr:from>
    <xdr:to>
      <xdr:col>21</xdr:col>
      <xdr:colOff>33618</xdr:colOff>
      <xdr:row>53</xdr:row>
      <xdr:rowOff>78443</xdr:rowOff>
    </xdr:to>
    <xdr:graphicFrame macro="">
      <xdr:nvGraphicFramePr>
        <xdr:cNvPr id="3" name="Chart 2" descr="Total Nitrogen Zero value calculator graph. X axis shows the percentage of the proposed development that would be set aside. The Y axis shows the total nitrogen load. ">
          <a:extLst>
            <a:ext uri="{FF2B5EF4-FFF2-40B4-BE49-F238E27FC236}">
              <a16:creationId xmlns:a16="http://schemas.microsoft.com/office/drawing/2014/main" id="{F77A16DB-872A-4482-B701-6193E15F42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30857</xdr:rowOff>
    </xdr:from>
    <xdr:to>
      <xdr:col>17</xdr:col>
      <xdr:colOff>514350</xdr:colOff>
      <xdr:row>50</xdr:row>
      <xdr:rowOff>117363</xdr:rowOff>
    </xdr:to>
    <xdr:pic>
      <xdr:nvPicPr>
        <xdr:cNvPr id="3" name="Picture 2" descr="Average annual rainfall data with the nutrient neutrality catchment. Rainfall ranges from 550 mm per year to 850 mm per year.">
          <a:extLst>
            <a:ext uri="{FF2B5EF4-FFF2-40B4-BE49-F238E27FC236}">
              <a16:creationId xmlns:a16="http://schemas.microsoft.com/office/drawing/2014/main" id="{29A31306-67C7-4E32-966E-B1034A6A08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30957"/>
          <a:ext cx="10877550" cy="769698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8500EF3-77F0-467A-961C-20B13BA11DE1}" name="Table1" displayName="Table1" ref="B2:K86" totalsRowShown="0" headerRowDxfId="36" dataDxfId="34" headerRowBorderDxfId="35" tableBorderDxfId="33">
  <autoFilter ref="B2:K86" xr:uid="{3C00E521-38CF-41F5-8D98-30C4E17CD153}"/>
  <tableColumns count="10">
    <tableColumn id="1" xr3:uid="{132379D4-C42C-4272-812E-BCF4A7023A8D}" name="Water Recycling Centre (WRC)" dataDxfId="32" totalsRowDxfId="31"/>
    <tableColumn id="5" xr3:uid="{D0943D36-4853-46E8-AAD6-A7C7B162A51E}" name="2022 Value known?" dataDxfId="30" totalsRowDxfId="29"/>
    <tableColumn id="2" xr3:uid="{D6A22126-B925-404C-A585-55B346310981}" name="2022 TP Discharge level (mg/l)" dataDxfId="28" totalsRowDxfId="27">
      <calculatedColumnFormula>IF(Table1[[#This Row],[2022 Value known?]]="No",5,0)</calculatedColumnFormula>
    </tableColumn>
    <tableColumn id="3" xr3:uid="{9BC600AB-76A0-4516-B4DA-50BC5EC8D645}" name="2022 TN Discharge level (mg/l)" dataDxfId="26" totalsRowDxfId="25">
      <calculatedColumnFormula>25</calculatedColumnFormula>
    </tableColumn>
    <tableColumn id="9" xr3:uid="{02C1601F-537C-4927-BBE9-D2E1E65DA0A7}" name="2025 Value known?" dataDxfId="24" totalsRowDxfId="23"/>
    <tableColumn id="4" xr3:uid="{21F8819C-8D6D-4BEC-B9B0-DA963C1AB5B1}" name="Post 2025 TP Discharge level (mg/l)" dataDxfId="22" totalsRowDxfId="21"/>
    <tableColumn id="7" xr3:uid="{AB3C6A67-6E39-4B71-B47E-1C8781DD7085}" name="Post 2025 TN Discharge level (mg/l)" dataDxfId="20" totalsRowDxfId="19">
      <calculatedColumnFormula>27</calculatedColumnFormula>
    </tableColumn>
    <tableColumn id="6" xr3:uid="{B723A150-F8E0-4339-969C-B4800DF4534A}" name="2030 Value known?" dataDxfId="18" totalsRowDxfId="17"/>
    <tableColumn id="8" xr3:uid="{F4BECF41-3F5C-4C58-BD2D-5DE270984B75}" name="Post 2030 TP discharge level (mg/l)" dataDxfId="16" totalsRowDxfId="15">
      <calculatedColumnFormula>0.25*0.9</calculatedColumnFormula>
    </tableColumn>
    <tableColumn id="10" xr3:uid="{87D0FDE5-3EFD-4EAA-9163-0FD84F4AF4C9}" name="Post 2030 TN discharge level (mg/l)" dataDxfId="14" totalsRowDxfId="13">
      <calculatedColumnFormula>10*0.9</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5AE6EDE-372F-4609-9D6A-FA738BCDB466}" name="Table2" displayName="Table2" ref="N2:P9" totalsRowShown="0" headerRowDxfId="12" dataDxfId="11">
  <autoFilter ref="N2:P9" xr:uid="{307B00A4-2832-4B35-8D42-EC8056ECD36B}"/>
  <tableColumns count="3">
    <tableColumn id="1" xr3:uid="{F981CFFB-C24C-45E2-8261-567716B0350F}" name="Land Use classification" dataDxfId="10"/>
    <tableColumn id="2" xr3:uid="{34307E7B-4C87-4413-8E9E-C80DC28B03B9}" name="Leaching rate (kg / ha / yr)" dataDxfId="9"/>
    <tableColumn id="3" xr3:uid="{F4E9D1F1-C17A-4E20-BEB2-5DADDEE89633}" name="Leaching rate (kg / ha / yr)2" dataDxfId="8"/>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8654144-2481-488B-9565-63F87905A271}" name="Table3" displayName="Table3" ref="N17:P22" totalsRowShown="0" headerRowDxfId="7" dataDxfId="5" headerRowBorderDxfId="6" tableBorderDxfId="4" totalsRowBorderDxfId="3">
  <autoFilter ref="N17:P22" xr:uid="{C8654144-2481-488B-9565-63F87905A271}"/>
  <tableColumns count="3">
    <tableColumn id="1" xr3:uid="{5F34F050-241F-4B01-932B-F47E0A2DE76F}" name="Treatment type" dataDxfId="2"/>
    <tableColumn id="2" xr3:uid="{8FB3D500-BA37-4D3E-90E9-07694A8FAE99}" name="P removal" dataDxfId="1"/>
    <tableColumn id="3" xr3:uid="{A8042B82-2E28-46C4-BE86-B2BD16558A98}" name="N removal"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apapps2.bgs.ac.uk/ukso/home.html?layers=NVZEng" TargetMode="External"/><Relationship Id="rId7" Type="http://schemas.openxmlformats.org/officeDocument/2006/relationships/drawing" Target="../drawings/drawing1.xml"/><Relationship Id="rId2" Type="http://schemas.openxmlformats.org/officeDocument/2006/relationships/hyperlink" Target="https://environment.data.gov.uk/catchment-planning/ManagementCatchment/3008" TargetMode="External"/><Relationship Id="rId1" Type="http://schemas.openxmlformats.org/officeDocument/2006/relationships/hyperlink" Target="https://gridreferencefinder.com/" TargetMode="External"/><Relationship Id="rId6" Type="http://schemas.openxmlformats.org/officeDocument/2006/relationships/customProperty" Target="../customProperty1.bin"/><Relationship Id="rId5" Type="http://schemas.openxmlformats.org/officeDocument/2006/relationships/printerSettings" Target="../printerSettings/printerSettings1.bin"/><Relationship Id="rId4" Type="http://schemas.openxmlformats.org/officeDocument/2006/relationships/hyperlink" Target="http://www.landis.org.uk/soilscapes/index.cfm" TargetMode="External"/></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0.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customProperty" Target="../customProperty12.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customProperty" Target="../customProperty13.bin"/><Relationship Id="rId1" Type="http://schemas.openxmlformats.org/officeDocument/2006/relationships/printerSettings" Target="../printerSettings/printerSettings13.bin"/><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5FB60-A6FF-4381-AFC7-8E138F60971D}">
  <sheetPr>
    <tabColor theme="9" tint="0.79998168889431442"/>
  </sheetPr>
  <dimension ref="A1:R219"/>
  <sheetViews>
    <sheetView topLeftCell="A181" zoomScaleNormal="100" workbookViewId="0">
      <selection activeCell="C15" sqref="C15"/>
    </sheetView>
  </sheetViews>
  <sheetFormatPr defaultRowHeight="12.75" x14ac:dyDescent="0.2"/>
  <cols>
    <col min="1" max="1" width="5.28515625" customWidth="1"/>
    <col min="2" max="2" width="1.140625" customWidth="1"/>
    <col min="3" max="3" width="7.42578125" customWidth="1"/>
    <col min="4" max="4" width="5.7109375" customWidth="1"/>
    <col min="6" max="6" width="10.85546875" customWidth="1"/>
    <col min="7" max="7" width="13" customWidth="1"/>
    <col min="8" max="8" width="11.7109375" customWidth="1"/>
    <col min="9" max="9" width="11.85546875" customWidth="1"/>
    <col min="10" max="10" width="12.5703125" customWidth="1"/>
    <col min="13" max="13" width="47.42578125" customWidth="1"/>
    <col min="14" max="14" width="8.7109375" customWidth="1"/>
    <col min="15" max="15" width="5.42578125" customWidth="1"/>
    <col min="16" max="16" width="59.7109375" customWidth="1"/>
    <col min="17" max="17" width="1.42578125" customWidth="1"/>
  </cols>
  <sheetData>
    <row r="1" spans="1:17" ht="13.5" thickBot="1" x14ac:dyDescent="0.25">
      <c r="A1" s="40" t="s">
        <v>598</v>
      </c>
    </row>
    <row r="2" spans="1:17" ht="14.45" customHeight="1" x14ac:dyDescent="0.2">
      <c r="B2" s="1"/>
      <c r="C2" s="33"/>
      <c r="D2" s="33"/>
      <c r="E2" s="33"/>
      <c r="F2" s="33"/>
      <c r="G2" s="33"/>
      <c r="H2" s="33"/>
      <c r="I2" s="33"/>
      <c r="J2" s="33"/>
      <c r="K2" s="33"/>
      <c r="L2" s="33"/>
      <c r="M2" s="33"/>
      <c r="N2" s="33"/>
      <c r="O2" s="33"/>
      <c r="P2" s="33"/>
      <c r="Q2" s="3"/>
    </row>
    <row r="3" spans="1:17" ht="12" customHeight="1" x14ac:dyDescent="0.2">
      <c r="B3" s="4"/>
      <c r="C3" s="38" t="s">
        <v>614</v>
      </c>
      <c r="D3" s="37"/>
      <c r="E3" s="37"/>
      <c r="F3" s="37"/>
      <c r="G3" s="37"/>
      <c r="H3" s="12"/>
      <c r="I3" s="12"/>
      <c r="J3" s="12"/>
      <c r="K3" s="12"/>
      <c r="L3" s="12"/>
      <c r="M3" s="23"/>
      <c r="N3" s="12"/>
      <c r="O3" s="12"/>
      <c r="P3" s="12"/>
      <c r="Q3" s="6"/>
    </row>
    <row r="4" spans="1:17" ht="11.45" customHeight="1" x14ac:dyDescent="0.2">
      <c r="B4" s="4"/>
      <c r="C4" s="12"/>
      <c r="D4" s="12"/>
      <c r="E4" s="12"/>
      <c r="F4" s="12"/>
      <c r="G4" s="12"/>
      <c r="H4" s="12"/>
      <c r="I4" s="12"/>
      <c r="J4" s="12"/>
      <c r="K4" s="12"/>
      <c r="L4" s="12"/>
      <c r="M4" s="12"/>
      <c r="N4" s="12"/>
      <c r="O4" s="12"/>
      <c r="P4" s="12"/>
      <c r="Q4" s="6"/>
    </row>
    <row r="5" spans="1:17" ht="6" customHeight="1" x14ac:dyDescent="0.2">
      <c r="B5" s="4"/>
      <c r="C5" s="12"/>
      <c r="D5" s="12"/>
      <c r="E5" s="12"/>
      <c r="F5" s="12"/>
      <c r="G5" s="12"/>
      <c r="H5" s="12"/>
      <c r="I5" s="12"/>
      <c r="J5" s="12"/>
      <c r="K5" s="12"/>
      <c r="L5" s="12"/>
      <c r="M5" s="12"/>
      <c r="N5" s="12"/>
      <c r="O5" s="12"/>
      <c r="P5" s="12"/>
      <c r="Q5" s="6"/>
    </row>
    <row r="6" spans="1:17" x14ac:dyDescent="0.2">
      <c r="B6" s="4"/>
      <c r="C6" s="5"/>
      <c r="D6" s="5"/>
      <c r="E6" s="35"/>
      <c r="F6" s="12"/>
      <c r="G6" s="12"/>
      <c r="H6" s="12"/>
      <c r="I6" s="12"/>
      <c r="J6" s="12"/>
      <c r="K6" s="12"/>
      <c r="M6" s="12"/>
      <c r="N6" s="12"/>
      <c r="O6" s="12"/>
      <c r="P6" s="12"/>
      <c r="Q6" s="6"/>
    </row>
    <row r="7" spans="1:17" ht="103.5" customHeight="1" x14ac:dyDescent="0.25">
      <c r="B7" s="4"/>
      <c r="C7" s="391" t="s">
        <v>42</v>
      </c>
      <c r="D7" s="391"/>
      <c r="F7" s="41"/>
      <c r="G7" s="41"/>
      <c r="H7" s="70"/>
      <c r="I7" s="41"/>
      <c r="J7" s="41"/>
      <c r="K7" s="41"/>
      <c r="L7" s="41"/>
      <c r="M7" s="41"/>
      <c r="N7" s="41"/>
      <c r="O7" s="41"/>
      <c r="P7" s="41"/>
      <c r="Q7" s="6"/>
    </row>
    <row r="8" spans="1:17" ht="99" customHeight="1" x14ac:dyDescent="0.2">
      <c r="B8" s="4"/>
      <c r="C8" s="356" t="s">
        <v>615</v>
      </c>
      <c r="D8" s="356"/>
      <c r="E8" s="356"/>
      <c r="F8" s="356"/>
      <c r="G8" s="356"/>
      <c r="H8" s="356"/>
      <c r="I8" s="356"/>
      <c r="J8" s="356"/>
      <c r="K8" s="356"/>
      <c r="L8" s="356"/>
      <c r="M8" s="356"/>
      <c r="N8" s="356"/>
      <c r="O8" s="356"/>
      <c r="P8" s="356"/>
      <c r="Q8" s="6"/>
    </row>
    <row r="9" spans="1:17" ht="23.1" customHeight="1" x14ac:dyDescent="0.2">
      <c r="B9" s="4"/>
      <c r="C9" s="356" t="s">
        <v>267</v>
      </c>
      <c r="D9" s="356"/>
      <c r="E9" s="356"/>
      <c r="F9" s="356"/>
      <c r="G9" s="356"/>
      <c r="H9" s="356"/>
      <c r="I9" s="356"/>
      <c r="J9" s="356"/>
      <c r="K9" s="356"/>
      <c r="L9" s="356"/>
      <c r="M9" s="356"/>
      <c r="N9" s="356"/>
      <c r="O9" s="356"/>
      <c r="P9" s="356"/>
      <c r="Q9" s="6"/>
    </row>
    <row r="10" spans="1:17" ht="15.95" customHeight="1" x14ac:dyDescent="0.2">
      <c r="B10" s="4"/>
      <c r="C10" s="356"/>
      <c r="D10" s="356"/>
      <c r="E10" s="356"/>
      <c r="F10" s="356"/>
      <c r="G10" s="356"/>
      <c r="H10" s="356"/>
      <c r="I10" s="356"/>
      <c r="J10" s="356"/>
      <c r="K10" s="356"/>
      <c r="L10" s="356"/>
      <c r="M10" s="356"/>
      <c r="N10" s="356"/>
      <c r="O10" s="356"/>
      <c r="P10" s="356"/>
      <c r="Q10" s="6"/>
    </row>
    <row r="11" spans="1:17" ht="48.95" customHeight="1" x14ac:dyDescent="0.2">
      <c r="B11" s="4"/>
      <c r="C11" s="356" t="s">
        <v>527</v>
      </c>
      <c r="D11" s="356"/>
      <c r="E11" s="356"/>
      <c r="F11" s="356"/>
      <c r="G11" s="356"/>
      <c r="H11" s="356"/>
      <c r="I11" s="356"/>
      <c r="J11" s="356"/>
      <c r="K11" s="356"/>
      <c r="L11" s="356"/>
      <c r="M11" s="356"/>
      <c r="N11" s="356"/>
      <c r="O11" s="356"/>
      <c r="P11" s="356"/>
      <c r="Q11" s="6"/>
    </row>
    <row r="12" spans="1:17" ht="33.950000000000003" customHeight="1" x14ac:dyDescent="0.2">
      <c r="B12" s="4"/>
      <c r="C12" s="356" t="s">
        <v>268</v>
      </c>
      <c r="D12" s="356"/>
      <c r="E12" s="356"/>
      <c r="F12" s="356"/>
      <c r="G12" s="356"/>
      <c r="H12" s="356"/>
      <c r="I12" s="356"/>
      <c r="J12" s="356"/>
      <c r="K12" s="356"/>
      <c r="L12" s="356"/>
      <c r="M12" s="356"/>
      <c r="N12" s="356"/>
      <c r="O12" s="356"/>
      <c r="P12" s="356"/>
      <c r="Q12" s="6"/>
    </row>
    <row r="13" spans="1:17" ht="19.5" customHeight="1" x14ac:dyDescent="0.2">
      <c r="B13" s="4"/>
      <c r="C13" s="356" t="s">
        <v>544</v>
      </c>
      <c r="D13" s="356"/>
      <c r="E13" s="356"/>
      <c r="F13" s="356"/>
      <c r="G13" s="356"/>
      <c r="H13" s="356"/>
      <c r="I13" s="356"/>
      <c r="J13" s="356"/>
      <c r="K13" s="356"/>
      <c r="L13" s="356"/>
      <c r="M13" s="356"/>
      <c r="N13" s="356"/>
      <c r="O13" s="356"/>
      <c r="P13" s="356"/>
      <c r="Q13" s="6"/>
    </row>
    <row r="14" spans="1:17" ht="135.6" customHeight="1" x14ac:dyDescent="0.2">
      <c r="B14" s="4"/>
      <c r="C14" s="356"/>
      <c r="D14" s="356"/>
      <c r="E14" s="356"/>
      <c r="F14" s="356"/>
      <c r="G14" s="356"/>
      <c r="H14" s="356"/>
      <c r="I14" s="356"/>
      <c r="J14" s="356"/>
      <c r="K14" s="356"/>
      <c r="L14" s="356"/>
      <c r="M14" s="356"/>
      <c r="N14" s="356"/>
      <c r="O14" s="356"/>
      <c r="P14" s="356"/>
      <c r="Q14" s="6"/>
    </row>
    <row r="15" spans="1:17" ht="17.100000000000001" customHeight="1" x14ac:dyDescent="0.2">
      <c r="B15" s="4"/>
      <c r="C15" s="347" t="s">
        <v>45</v>
      </c>
      <c r="D15" s="49"/>
      <c r="E15" s="49"/>
      <c r="F15" s="49"/>
      <c r="G15" s="49"/>
      <c r="H15" s="49"/>
      <c r="I15" s="49"/>
      <c r="J15" s="49"/>
      <c r="K15" s="142"/>
      <c r="L15" s="142"/>
      <c r="M15" s="142"/>
      <c r="N15" s="142"/>
      <c r="O15" s="142"/>
      <c r="P15" s="142"/>
      <c r="Q15" s="6"/>
    </row>
    <row r="16" spans="1:17" ht="5.0999999999999996" customHeight="1" x14ac:dyDescent="0.2">
      <c r="B16" s="4"/>
      <c r="C16" s="38"/>
      <c r="D16" s="49"/>
      <c r="E16" s="49"/>
      <c r="F16" s="49"/>
      <c r="G16" s="49"/>
      <c r="H16" s="49"/>
      <c r="I16" s="49"/>
      <c r="J16" s="49"/>
      <c r="K16" s="142"/>
      <c r="L16" s="142"/>
      <c r="M16" s="142"/>
      <c r="N16" s="142"/>
      <c r="O16" s="142"/>
      <c r="P16" s="142"/>
      <c r="Q16" s="6"/>
    </row>
    <row r="17" spans="2:17" ht="56.1" customHeight="1" x14ac:dyDescent="0.2">
      <c r="B17" s="4"/>
      <c r="C17" s="356" t="s">
        <v>269</v>
      </c>
      <c r="D17" s="356"/>
      <c r="E17" s="356"/>
      <c r="F17" s="356"/>
      <c r="G17" s="356"/>
      <c r="H17" s="356"/>
      <c r="I17" s="356"/>
      <c r="J17" s="356"/>
      <c r="K17" s="356"/>
      <c r="L17" s="356"/>
      <c r="M17" s="356"/>
      <c r="N17" s="356"/>
      <c r="O17" s="356"/>
      <c r="P17" s="356"/>
      <c r="Q17" s="6"/>
    </row>
    <row r="18" spans="2:17" ht="15.95" customHeight="1" x14ac:dyDescent="0.2">
      <c r="B18" s="4"/>
      <c r="C18" s="374" t="s">
        <v>131</v>
      </c>
      <c r="D18" s="374"/>
      <c r="E18" s="374"/>
      <c r="F18" s="374"/>
      <c r="G18" s="374"/>
      <c r="H18" s="374"/>
      <c r="I18" s="374"/>
      <c r="J18" s="374"/>
      <c r="K18" s="374"/>
      <c r="L18" s="374"/>
      <c r="M18" s="374"/>
      <c r="N18" s="142"/>
      <c r="O18" s="142"/>
      <c r="P18" s="142"/>
      <c r="Q18" s="6"/>
    </row>
    <row r="19" spans="2:17" ht="44.45" customHeight="1" x14ac:dyDescent="0.2">
      <c r="B19" s="4"/>
      <c r="C19" s="356" t="s">
        <v>135</v>
      </c>
      <c r="D19" s="356"/>
      <c r="E19" s="356"/>
      <c r="F19" s="356"/>
      <c r="G19" s="356"/>
      <c r="H19" s="356"/>
      <c r="I19" s="356"/>
      <c r="J19" s="356"/>
      <c r="K19" s="356"/>
      <c r="L19" s="356"/>
      <c r="M19" s="356"/>
      <c r="N19" s="356"/>
      <c r="O19" s="356"/>
      <c r="P19" s="356"/>
      <c r="Q19" s="6"/>
    </row>
    <row r="20" spans="2:17" ht="98.1" customHeight="1" x14ac:dyDescent="0.2">
      <c r="B20" s="4"/>
      <c r="C20" s="356" t="s">
        <v>136</v>
      </c>
      <c r="D20" s="356"/>
      <c r="E20" s="356"/>
      <c r="F20" s="356"/>
      <c r="G20" s="356"/>
      <c r="H20" s="356"/>
      <c r="I20" s="356"/>
      <c r="J20" s="356"/>
      <c r="K20" s="356"/>
      <c r="L20" s="356"/>
      <c r="M20" s="356"/>
      <c r="N20" s="356"/>
      <c r="O20" s="356"/>
      <c r="P20" s="356"/>
      <c r="Q20" s="6"/>
    </row>
    <row r="21" spans="2:17" ht="31.5" customHeight="1" x14ac:dyDescent="0.2">
      <c r="B21" s="4"/>
      <c r="C21" s="374" t="s">
        <v>270</v>
      </c>
      <c r="D21" s="374"/>
      <c r="E21" s="374"/>
      <c r="F21" s="374"/>
      <c r="G21" s="374"/>
      <c r="H21" s="374"/>
      <c r="I21" s="374"/>
      <c r="J21" s="374"/>
      <c r="K21" s="374"/>
      <c r="L21" s="374"/>
      <c r="M21" s="374"/>
      <c r="N21" s="142"/>
      <c r="O21" s="142"/>
      <c r="P21" s="142"/>
      <c r="Q21" s="6"/>
    </row>
    <row r="22" spans="2:17" ht="15.95" customHeight="1" x14ac:dyDescent="0.2">
      <c r="B22" s="4"/>
      <c r="C22" s="374" t="s">
        <v>616</v>
      </c>
      <c r="D22" s="374"/>
      <c r="E22" s="374"/>
      <c r="F22" s="374"/>
      <c r="G22" s="374"/>
      <c r="H22" s="374"/>
      <c r="I22" s="374"/>
      <c r="J22" s="374"/>
      <c r="K22" s="374"/>
      <c r="L22" s="374"/>
      <c r="M22" s="374"/>
      <c r="N22" s="142"/>
      <c r="O22" s="142"/>
      <c r="P22" s="142"/>
      <c r="Q22" s="6"/>
    </row>
    <row r="23" spans="2:17" ht="9.6" customHeight="1" x14ac:dyDescent="0.2">
      <c r="B23" s="4"/>
      <c r="C23" s="143"/>
      <c r="D23" s="143"/>
      <c r="E23" s="143"/>
      <c r="F23" s="143"/>
      <c r="G23" s="143"/>
      <c r="H23" s="143"/>
      <c r="I23" s="143"/>
      <c r="J23" s="143"/>
      <c r="K23" s="143"/>
      <c r="L23" s="143"/>
      <c r="M23" s="143"/>
      <c r="N23" s="143"/>
      <c r="O23" s="143"/>
      <c r="P23" s="143"/>
      <c r="Q23" s="6"/>
    </row>
    <row r="24" spans="2:17" ht="15.75" x14ac:dyDescent="0.2">
      <c r="B24" s="4"/>
      <c r="C24" s="366" t="s">
        <v>44</v>
      </c>
      <c r="D24" s="366"/>
      <c r="E24" s="49"/>
      <c r="F24" s="49"/>
      <c r="G24" s="49"/>
      <c r="H24" s="49"/>
      <c r="I24" s="49"/>
      <c r="J24" s="49"/>
      <c r="K24" s="49"/>
      <c r="L24" s="49"/>
      <c r="M24" s="49"/>
      <c r="N24" s="49"/>
      <c r="O24" s="49"/>
      <c r="P24" s="49"/>
      <c r="Q24" s="6"/>
    </row>
    <row r="25" spans="2:17" ht="5.45" customHeight="1" x14ac:dyDescent="0.2">
      <c r="B25" s="4"/>
      <c r="C25" s="49"/>
      <c r="D25" s="49"/>
      <c r="E25" s="49"/>
      <c r="F25" s="49"/>
      <c r="G25" s="49"/>
      <c r="H25" s="49"/>
      <c r="I25" s="49"/>
      <c r="J25" s="49"/>
      <c r="K25" s="49"/>
      <c r="L25" s="49"/>
      <c r="M25" s="49"/>
      <c r="N25" s="49"/>
      <c r="O25" s="49"/>
      <c r="P25" s="49"/>
      <c r="Q25" s="6"/>
    </row>
    <row r="26" spans="2:17" ht="15.75" x14ac:dyDescent="0.2">
      <c r="B26" s="4"/>
      <c r="C26" s="374" t="s">
        <v>72</v>
      </c>
      <c r="D26" s="374"/>
      <c r="E26" s="374"/>
      <c r="F26" s="374"/>
      <c r="G26" s="374"/>
      <c r="H26" s="374"/>
      <c r="I26" s="374"/>
      <c r="J26" s="374"/>
      <c r="K26" s="374"/>
      <c r="L26" s="374"/>
      <c r="M26" s="49"/>
      <c r="N26" s="49"/>
      <c r="O26" s="49"/>
      <c r="P26" s="49"/>
      <c r="Q26" s="6"/>
    </row>
    <row r="27" spans="2:17" ht="15.75" x14ac:dyDescent="0.2">
      <c r="B27" s="4"/>
      <c r="C27" s="142"/>
      <c r="D27" s="49"/>
      <c r="E27" s="49"/>
      <c r="F27" s="49"/>
      <c r="G27" s="49"/>
      <c r="H27" s="49"/>
      <c r="I27" s="49"/>
      <c r="J27" s="49"/>
      <c r="K27" s="49"/>
      <c r="L27" s="49"/>
      <c r="M27" s="49"/>
      <c r="N27" s="49"/>
      <c r="O27" s="49"/>
      <c r="P27" s="49"/>
      <c r="Q27" s="6"/>
    </row>
    <row r="28" spans="2:17" ht="15.75" x14ac:dyDescent="0.2">
      <c r="B28" s="4"/>
      <c r="C28" s="191"/>
      <c r="D28" s="49"/>
      <c r="E28" s="374" t="s">
        <v>73</v>
      </c>
      <c r="F28" s="374"/>
      <c r="G28" s="374"/>
      <c r="H28" s="374"/>
      <c r="I28" s="374"/>
      <c r="J28" s="374"/>
      <c r="K28" s="374"/>
      <c r="L28" s="374"/>
      <c r="M28" s="49"/>
      <c r="N28" s="49"/>
      <c r="O28" s="49"/>
      <c r="P28" s="49"/>
      <c r="Q28" s="6"/>
    </row>
    <row r="29" spans="2:17" ht="15.75" x14ac:dyDescent="0.2">
      <c r="B29" s="4"/>
      <c r="C29" s="192"/>
      <c r="D29" s="49"/>
      <c r="E29" s="374" t="s">
        <v>74</v>
      </c>
      <c r="F29" s="374"/>
      <c r="G29" s="374"/>
      <c r="H29" s="374"/>
      <c r="I29" s="374"/>
      <c r="J29" s="374"/>
      <c r="K29" s="374"/>
      <c r="L29" s="374"/>
      <c r="M29" s="49"/>
      <c r="N29" s="49"/>
      <c r="O29" s="49"/>
      <c r="P29" s="49"/>
      <c r="Q29" s="6"/>
    </row>
    <row r="30" spans="2:17" ht="15.75" x14ac:dyDescent="0.2">
      <c r="B30" s="4"/>
      <c r="C30" s="49"/>
      <c r="D30" s="49"/>
      <c r="E30" s="49"/>
      <c r="F30" s="49"/>
      <c r="G30" s="49"/>
      <c r="H30" s="49"/>
      <c r="I30" s="49"/>
      <c r="J30" s="49"/>
      <c r="K30" s="49"/>
      <c r="L30" s="49"/>
      <c r="M30" s="49"/>
      <c r="N30" s="49"/>
      <c r="O30" s="49"/>
      <c r="P30" s="49"/>
      <c r="Q30" s="6"/>
    </row>
    <row r="31" spans="2:17" ht="15.75" x14ac:dyDescent="0.2">
      <c r="B31" s="4"/>
      <c r="C31" s="382" t="s">
        <v>43</v>
      </c>
      <c r="D31" s="382"/>
      <c r="E31" s="38"/>
      <c r="F31" s="38"/>
      <c r="G31" s="38"/>
      <c r="H31" s="38"/>
      <c r="I31" s="38"/>
      <c r="J31" s="38"/>
      <c r="K31" s="38"/>
      <c r="L31" s="38"/>
      <c r="M31" s="38"/>
      <c r="N31" s="38"/>
      <c r="O31" s="38"/>
      <c r="P31" s="38"/>
      <c r="Q31" s="6"/>
    </row>
    <row r="32" spans="2:17" ht="13.5" customHeight="1" x14ac:dyDescent="0.2">
      <c r="B32" s="4"/>
      <c r="C32" s="146"/>
      <c r="D32" s="146"/>
      <c r="E32" s="146"/>
      <c r="F32" s="146"/>
      <c r="G32" s="146"/>
      <c r="H32" s="146"/>
      <c r="I32" s="146"/>
      <c r="J32" s="146"/>
      <c r="K32" s="146"/>
      <c r="L32" s="146"/>
      <c r="M32" s="146"/>
      <c r="N32" s="146"/>
      <c r="O32" s="146"/>
      <c r="P32" s="146"/>
      <c r="Q32" s="6"/>
    </row>
    <row r="33" spans="2:17" ht="186.95" customHeight="1" x14ac:dyDescent="0.2">
      <c r="B33" s="4"/>
      <c r="C33" s="356" t="s">
        <v>603</v>
      </c>
      <c r="D33" s="356"/>
      <c r="E33" s="356"/>
      <c r="F33" s="356"/>
      <c r="G33" s="356"/>
      <c r="H33" s="356"/>
      <c r="I33" s="356"/>
      <c r="J33" s="356"/>
      <c r="K33" s="356"/>
      <c r="L33" s="356"/>
      <c r="M33" s="356"/>
      <c r="N33" s="356"/>
      <c r="O33" s="356"/>
      <c r="P33" s="356"/>
      <c r="Q33" s="6"/>
    </row>
    <row r="34" spans="2:17" ht="15.75" x14ac:dyDescent="0.2">
      <c r="B34" s="4"/>
      <c r="C34" s="382" t="s">
        <v>16</v>
      </c>
      <c r="D34" s="382"/>
      <c r="E34" s="38"/>
      <c r="F34" s="38"/>
      <c r="G34" s="38"/>
      <c r="H34" s="38"/>
      <c r="I34" s="38"/>
      <c r="J34" s="38"/>
      <c r="K34" s="38"/>
      <c r="L34" s="38"/>
      <c r="M34" s="38"/>
      <c r="N34" s="38"/>
      <c r="O34" s="38"/>
      <c r="P34" s="38"/>
      <c r="Q34" s="6"/>
    </row>
    <row r="35" spans="2:17" ht="3.95" customHeight="1" x14ac:dyDescent="0.2">
      <c r="B35" s="4"/>
      <c r="C35" s="38"/>
      <c r="D35" s="38"/>
      <c r="E35" s="38"/>
      <c r="F35" s="38"/>
      <c r="G35" s="38"/>
      <c r="H35" s="38"/>
      <c r="I35" s="38"/>
      <c r="J35" s="38"/>
      <c r="K35" s="38"/>
      <c r="L35" s="38"/>
      <c r="M35" s="38"/>
      <c r="N35" s="38"/>
      <c r="O35" s="38"/>
      <c r="P35" s="38"/>
      <c r="Q35" s="6"/>
    </row>
    <row r="36" spans="2:17" ht="62.1" customHeight="1" x14ac:dyDescent="0.2">
      <c r="B36" s="4"/>
      <c r="C36" s="381" t="s">
        <v>604</v>
      </c>
      <c r="D36" s="381"/>
      <c r="E36" s="381"/>
      <c r="F36" s="381"/>
      <c r="G36" s="381"/>
      <c r="H36" s="381"/>
      <c r="I36" s="381"/>
      <c r="J36" s="381"/>
      <c r="K36" s="381"/>
      <c r="L36" s="381"/>
      <c r="M36" s="381"/>
      <c r="N36" s="381"/>
      <c r="O36" s="381"/>
      <c r="P36" s="381"/>
      <c r="Q36" s="6"/>
    </row>
    <row r="37" spans="2:17" ht="8.4499999999999993" customHeight="1" x14ac:dyDescent="0.2">
      <c r="B37" s="4"/>
      <c r="C37" s="38"/>
      <c r="D37" s="38"/>
      <c r="E37" s="38"/>
      <c r="F37" s="38"/>
      <c r="G37" s="38"/>
      <c r="H37" s="38"/>
      <c r="I37" s="38"/>
      <c r="J37" s="38"/>
      <c r="K37" s="38"/>
      <c r="L37" s="38"/>
      <c r="M37" s="38"/>
      <c r="N37" s="38"/>
      <c r="O37" s="38"/>
      <c r="P37" s="38"/>
      <c r="Q37" s="6"/>
    </row>
    <row r="38" spans="2:17" ht="15.75" x14ac:dyDescent="0.2">
      <c r="B38" s="4"/>
      <c r="C38" s="382" t="s">
        <v>29</v>
      </c>
      <c r="D38" s="382"/>
      <c r="E38" s="38"/>
      <c r="F38" s="38"/>
      <c r="G38" s="38"/>
      <c r="H38" s="38"/>
      <c r="I38" s="38"/>
      <c r="J38" s="38"/>
      <c r="K38" s="38"/>
      <c r="L38" s="38"/>
      <c r="M38" s="38"/>
      <c r="N38" s="38"/>
      <c r="O38" s="38"/>
      <c r="P38" s="38"/>
      <c r="Q38" s="6"/>
    </row>
    <row r="39" spans="2:17" ht="3" customHeight="1" x14ac:dyDescent="0.2">
      <c r="B39" s="4"/>
      <c r="C39" s="38"/>
      <c r="D39" s="38"/>
      <c r="E39" s="38"/>
      <c r="F39" s="38"/>
      <c r="G39" s="38"/>
      <c r="H39" s="38"/>
      <c r="I39" s="38"/>
      <c r="J39" s="38"/>
      <c r="K39" s="38"/>
      <c r="L39" s="38"/>
      <c r="M39" s="38"/>
      <c r="N39" s="38"/>
      <c r="O39" s="38"/>
      <c r="P39" s="38"/>
      <c r="Q39" s="6"/>
    </row>
    <row r="40" spans="2:17" ht="75.599999999999994" customHeight="1" x14ac:dyDescent="0.2">
      <c r="B40" s="4"/>
      <c r="C40" s="356" t="s">
        <v>271</v>
      </c>
      <c r="D40" s="356"/>
      <c r="E40" s="356"/>
      <c r="F40" s="356"/>
      <c r="G40" s="356"/>
      <c r="H40" s="356"/>
      <c r="I40" s="356"/>
      <c r="J40" s="356"/>
      <c r="K40" s="356"/>
      <c r="L40" s="356"/>
      <c r="M40" s="356"/>
      <c r="N40" s="356"/>
      <c r="O40" s="356"/>
      <c r="P40" s="356"/>
      <c r="Q40" s="6"/>
    </row>
    <row r="41" spans="2:17" ht="4.5" customHeight="1" x14ac:dyDescent="0.2">
      <c r="B41" s="4"/>
      <c r="C41" s="38"/>
      <c r="D41" s="38"/>
      <c r="E41" s="38"/>
      <c r="F41" s="38"/>
      <c r="G41" s="38"/>
      <c r="H41" s="38"/>
      <c r="I41" s="38"/>
      <c r="J41" s="38"/>
      <c r="K41" s="38"/>
      <c r="L41" s="38"/>
      <c r="M41" s="38"/>
      <c r="N41" s="38"/>
      <c r="O41" s="38"/>
      <c r="P41" s="38"/>
      <c r="Q41" s="6"/>
    </row>
    <row r="42" spans="2:17" ht="19.5" customHeight="1" x14ac:dyDescent="0.2">
      <c r="B42" s="4"/>
      <c r="C42" s="382" t="s">
        <v>30</v>
      </c>
      <c r="D42" s="382"/>
      <c r="E42" s="38"/>
      <c r="F42" s="38"/>
      <c r="G42" s="38"/>
      <c r="H42" s="38"/>
      <c r="I42" s="38"/>
      <c r="J42" s="38"/>
      <c r="K42" s="38"/>
      <c r="L42" s="38"/>
      <c r="M42" s="38"/>
      <c r="N42" s="38"/>
      <c r="O42" s="38"/>
      <c r="P42" s="38"/>
      <c r="Q42" s="6"/>
    </row>
    <row r="43" spans="2:17" ht="5.0999999999999996" customHeight="1" x14ac:dyDescent="0.2">
      <c r="B43" s="4"/>
      <c r="C43" s="38"/>
      <c r="D43" s="38"/>
      <c r="E43" s="38"/>
      <c r="F43" s="38"/>
      <c r="G43" s="38"/>
      <c r="H43" s="38"/>
      <c r="I43" s="38"/>
      <c r="J43" s="38"/>
      <c r="K43" s="38"/>
      <c r="L43" s="38"/>
      <c r="M43" s="38"/>
      <c r="N43" s="38"/>
      <c r="O43" s="38"/>
      <c r="P43" s="38"/>
      <c r="Q43" s="6"/>
    </row>
    <row r="44" spans="2:17" ht="57" customHeight="1" x14ac:dyDescent="0.2">
      <c r="B44" s="4"/>
      <c r="C44" s="356" t="s">
        <v>446</v>
      </c>
      <c r="D44" s="356"/>
      <c r="E44" s="356"/>
      <c r="F44" s="356"/>
      <c r="G44" s="356"/>
      <c r="H44" s="356"/>
      <c r="I44" s="356"/>
      <c r="J44" s="356"/>
      <c r="K44" s="356"/>
      <c r="L44" s="356"/>
      <c r="M44" s="356"/>
      <c r="N44" s="356"/>
      <c r="O44" s="356"/>
      <c r="P44" s="356"/>
      <c r="Q44" s="6"/>
    </row>
    <row r="45" spans="2:17" ht="5.25" customHeight="1" x14ac:dyDescent="0.2">
      <c r="B45" s="4"/>
      <c r="C45" s="38"/>
      <c r="D45" s="38"/>
      <c r="E45" s="38"/>
      <c r="F45" s="38"/>
      <c r="G45" s="38"/>
      <c r="H45" s="38"/>
      <c r="I45" s="38"/>
      <c r="J45" s="38"/>
      <c r="K45" s="38"/>
      <c r="L45" s="38"/>
      <c r="M45" s="38"/>
      <c r="N45" s="38"/>
      <c r="O45" s="38"/>
      <c r="P45" s="38"/>
      <c r="Q45" s="6"/>
    </row>
    <row r="46" spans="2:17" ht="15.75" x14ac:dyDescent="0.2">
      <c r="B46" s="4"/>
      <c r="C46" s="382" t="s">
        <v>36</v>
      </c>
      <c r="D46" s="382"/>
      <c r="E46" s="38"/>
      <c r="F46" s="38"/>
      <c r="G46" s="38"/>
      <c r="H46" s="38"/>
      <c r="I46" s="38"/>
      <c r="J46" s="38"/>
      <c r="K46" s="38"/>
      <c r="L46" s="38"/>
      <c r="M46" s="38"/>
      <c r="N46" s="38"/>
      <c r="O46" s="38"/>
      <c r="P46" s="38"/>
      <c r="Q46" s="6"/>
    </row>
    <row r="47" spans="2:17" ht="4.5" customHeight="1" x14ac:dyDescent="0.2">
      <c r="B47" s="4"/>
      <c r="C47" s="38"/>
      <c r="D47" s="38"/>
      <c r="E47" s="38"/>
      <c r="F47" s="38"/>
      <c r="G47" s="38"/>
      <c r="H47" s="38"/>
      <c r="I47" s="38"/>
      <c r="J47" s="38"/>
      <c r="K47" s="38"/>
      <c r="L47" s="38"/>
      <c r="M47" s="38"/>
      <c r="N47" s="38"/>
      <c r="O47" s="38"/>
      <c r="P47" s="38"/>
      <c r="Q47" s="6"/>
    </row>
    <row r="48" spans="2:17" ht="108.95" customHeight="1" x14ac:dyDescent="0.2">
      <c r="B48" s="4"/>
      <c r="C48" s="356" t="s">
        <v>528</v>
      </c>
      <c r="D48" s="356"/>
      <c r="E48" s="356"/>
      <c r="F48" s="356"/>
      <c r="G48" s="356"/>
      <c r="H48" s="356"/>
      <c r="I48" s="356"/>
      <c r="J48" s="356"/>
      <c r="K48" s="356"/>
      <c r="L48" s="356"/>
      <c r="M48" s="356"/>
      <c r="N48" s="356"/>
      <c r="O48" s="356"/>
      <c r="P48" s="356"/>
      <c r="Q48" s="6"/>
    </row>
    <row r="49" spans="2:17" ht="4.5" customHeight="1" x14ac:dyDescent="0.2">
      <c r="B49" s="4"/>
      <c r="C49" s="49"/>
      <c r="D49" s="49"/>
      <c r="E49" s="49"/>
      <c r="F49" s="49"/>
      <c r="G49" s="49"/>
      <c r="H49" s="49"/>
      <c r="I49" s="49"/>
      <c r="J49" s="49"/>
      <c r="K49" s="49"/>
      <c r="L49" s="49"/>
      <c r="M49" s="49"/>
      <c r="N49" s="49"/>
      <c r="O49" s="49"/>
      <c r="P49" s="49"/>
      <c r="Q49" s="6"/>
    </row>
    <row r="50" spans="2:17" ht="15.75" x14ac:dyDescent="0.2">
      <c r="B50" s="4"/>
      <c r="C50" s="382" t="s">
        <v>66</v>
      </c>
      <c r="D50" s="382"/>
      <c r="E50" s="49"/>
      <c r="F50" s="49"/>
      <c r="G50" s="49"/>
      <c r="H50" s="49"/>
      <c r="I50" s="49"/>
      <c r="J50" s="49"/>
      <c r="K50" s="49"/>
      <c r="L50" s="49"/>
      <c r="M50" s="49"/>
      <c r="N50" s="49"/>
      <c r="O50" s="49"/>
      <c r="P50" s="49"/>
      <c r="Q50" s="6"/>
    </row>
    <row r="51" spans="2:17" ht="4.5" customHeight="1" x14ac:dyDescent="0.2">
      <c r="B51" s="4"/>
      <c r="C51" s="38"/>
      <c r="D51" s="49"/>
      <c r="E51" s="49"/>
      <c r="F51" s="49"/>
      <c r="G51" s="49"/>
      <c r="H51" s="49"/>
      <c r="I51" s="49"/>
      <c r="J51" s="49"/>
      <c r="K51" s="49"/>
      <c r="L51" s="49"/>
      <c r="M51" s="49"/>
      <c r="N51" s="49"/>
      <c r="O51" s="49"/>
      <c r="P51" s="49"/>
      <c r="Q51" s="6"/>
    </row>
    <row r="52" spans="2:17" ht="78.599999999999994" customHeight="1" x14ac:dyDescent="0.2">
      <c r="B52" s="4"/>
      <c r="C52" s="356" t="s">
        <v>529</v>
      </c>
      <c r="D52" s="356"/>
      <c r="E52" s="356"/>
      <c r="F52" s="356"/>
      <c r="G52" s="356"/>
      <c r="H52" s="356"/>
      <c r="I52" s="356"/>
      <c r="J52" s="356"/>
      <c r="K52" s="356"/>
      <c r="L52" s="356"/>
      <c r="M52" s="356"/>
      <c r="N52" s="356"/>
      <c r="O52" s="356"/>
      <c r="P52" s="356"/>
      <c r="Q52" s="6"/>
    </row>
    <row r="53" spans="2:17" ht="6.95" customHeight="1" x14ac:dyDescent="0.2">
      <c r="B53" s="4"/>
      <c r="C53" s="49"/>
      <c r="D53" s="49"/>
      <c r="E53" s="49"/>
      <c r="F53" s="49"/>
      <c r="G53" s="49"/>
      <c r="H53" s="49"/>
      <c r="I53" s="49"/>
      <c r="J53" s="49"/>
      <c r="K53" s="49"/>
      <c r="L53" s="49"/>
      <c r="M53" s="49"/>
      <c r="N53" s="49"/>
      <c r="O53" s="49"/>
      <c r="P53" s="49"/>
      <c r="Q53" s="6"/>
    </row>
    <row r="54" spans="2:17" ht="15.75" x14ac:dyDescent="0.2">
      <c r="B54" s="4"/>
      <c r="C54" s="382" t="s">
        <v>69</v>
      </c>
      <c r="D54" s="382"/>
      <c r="E54" s="49"/>
      <c r="F54" s="49"/>
      <c r="G54" s="49"/>
      <c r="H54" s="49"/>
      <c r="I54" s="49"/>
      <c r="J54" s="49"/>
      <c r="K54" s="49"/>
      <c r="L54" s="49"/>
      <c r="M54" s="49"/>
      <c r="N54" s="49"/>
      <c r="O54" s="49"/>
      <c r="P54" s="49"/>
      <c r="Q54" s="6"/>
    </row>
    <row r="55" spans="2:17" ht="5.0999999999999996" customHeight="1" x14ac:dyDescent="0.2">
      <c r="B55" s="4"/>
      <c r="C55" s="49"/>
      <c r="D55" s="49"/>
      <c r="E55" s="49"/>
      <c r="F55" s="49"/>
      <c r="G55" s="49"/>
      <c r="H55" s="49"/>
      <c r="I55" s="49"/>
      <c r="J55" s="49"/>
      <c r="K55" s="49"/>
      <c r="L55" s="49"/>
      <c r="M55" s="49"/>
      <c r="N55" s="49"/>
      <c r="O55" s="49"/>
      <c r="P55" s="49"/>
      <c r="Q55" s="6"/>
    </row>
    <row r="56" spans="2:17" ht="28.5" customHeight="1" x14ac:dyDescent="0.2">
      <c r="B56" s="4"/>
      <c r="C56" s="356" t="s">
        <v>530</v>
      </c>
      <c r="D56" s="356"/>
      <c r="E56" s="356"/>
      <c r="F56" s="356"/>
      <c r="G56" s="356"/>
      <c r="H56" s="356"/>
      <c r="I56" s="356"/>
      <c r="J56" s="356"/>
      <c r="K56" s="356"/>
      <c r="L56" s="356"/>
      <c r="M56" s="356"/>
      <c r="N56" s="356"/>
      <c r="O56" s="356"/>
      <c r="P56" s="356"/>
      <c r="Q56" s="6"/>
    </row>
    <row r="57" spans="2:17" ht="9.6" customHeight="1" x14ac:dyDescent="0.2">
      <c r="B57" s="4"/>
      <c r="C57" s="49"/>
      <c r="D57" s="49"/>
      <c r="E57" s="49"/>
      <c r="F57" s="49"/>
      <c r="G57" s="49"/>
      <c r="H57" s="49"/>
      <c r="I57" s="49"/>
      <c r="J57" s="49"/>
      <c r="K57" s="49"/>
      <c r="L57" s="49"/>
      <c r="M57" s="49"/>
      <c r="N57" s="49"/>
      <c r="O57" s="49"/>
      <c r="P57" s="49"/>
      <c r="Q57" s="6"/>
    </row>
    <row r="58" spans="2:17" ht="9.6" customHeight="1" x14ac:dyDescent="0.2">
      <c r="B58" s="4"/>
      <c r="C58" s="366" t="s">
        <v>124</v>
      </c>
      <c r="D58" s="366"/>
      <c r="E58" s="366"/>
      <c r="F58" s="49"/>
      <c r="G58" s="49"/>
      <c r="H58" s="49"/>
      <c r="I58" s="49"/>
      <c r="J58" s="49"/>
      <c r="K58" s="49"/>
      <c r="L58" s="49"/>
      <c r="M58" s="49"/>
      <c r="N58" s="49"/>
      <c r="O58" s="49"/>
      <c r="P58" s="49"/>
      <c r="Q58" s="6"/>
    </row>
    <row r="59" spans="2:17" ht="15.75" x14ac:dyDescent="0.2">
      <c r="B59" s="4"/>
      <c r="C59" s="374" t="s">
        <v>134</v>
      </c>
      <c r="D59" s="374"/>
      <c r="E59" s="374"/>
      <c r="F59" s="374"/>
      <c r="G59" s="374"/>
      <c r="H59" s="374"/>
      <c r="I59" s="374"/>
      <c r="J59" s="374"/>
      <c r="K59" s="374"/>
      <c r="L59" s="374"/>
      <c r="M59" s="374"/>
      <c r="N59" s="142"/>
      <c r="O59" s="142"/>
      <c r="P59" s="142"/>
      <c r="Q59" s="6"/>
    </row>
    <row r="60" spans="2:17" ht="15.75" x14ac:dyDescent="0.2">
      <c r="B60" s="4"/>
      <c r="C60" s="49"/>
      <c r="D60" s="49"/>
      <c r="E60" s="49"/>
      <c r="F60" s="49"/>
      <c r="G60" s="49"/>
      <c r="H60" s="49"/>
      <c r="I60" s="49"/>
      <c r="J60" s="49"/>
      <c r="K60" s="49"/>
      <c r="L60" s="49"/>
      <c r="M60" s="49"/>
      <c r="N60" s="49"/>
      <c r="O60" s="49"/>
      <c r="P60" s="49"/>
      <c r="Q60" s="6"/>
    </row>
    <row r="61" spans="2:17" ht="15.75" x14ac:dyDescent="0.2">
      <c r="B61" s="4"/>
      <c r="C61" s="362" t="s">
        <v>77</v>
      </c>
      <c r="D61" s="362"/>
      <c r="E61" s="362"/>
      <c r="F61" s="362"/>
      <c r="G61" s="362" t="s">
        <v>126</v>
      </c>
      <c r="H61" s="362"/>
      <c r="I61" s="362"/>
      <c r="J61" s="362"/>
      <c r="K61" s="362"/>
      <c r="L61" s="362"/>
      <c r="M61" s="362"/>
      <c r="N61" s="362"/>
      <c r="O61" s="362"/>
      <c r="P61" s="362"/>
      <c r="Q61" s="6"/>
    </row>
    <row r="62" spans="2:17" ht="47.45" customHeight="1" x14ac:dyDescent="0.2">
      <c r="B62" s="4"/>
      <c r="C62" s="364" t="s">
        <v>576</v>
      </c>
      <c r="D62" s="364"/>
      <c r="E62" s="364"/>
      <c r="F62" s="364"/>
      <c r="G62" s="365" t="s">
        <v>580</v>
      </c>
      <c r="H62" s="365"/>
      <c r="I62" s="365"/>
      <c r="J62" s="365"/>
      <c r="K62" s="365"/>
      <c r="L62" s="365"/>
      <c r="M62" s="365"/>
      <c r="N62" s="365"/>
      <c r="O62" s="365"/>
      <c r="P62" s="365"/>
      <c r="Q62" s="6"/>
    </row>
    <row r="63" spans="2:17" ht="33" customHeight="1" x14ac:dyDescent="0.2">
      <c r="B63" s="4"/>
      <c r="C63" s="370" t="s">
        <v>577</v>
      </c>
      <c r="D63" s="371"/>
      <c r="E63" s="371"/>
      <c r="F63" s="372"/>
      <c r="G63" s="398" t="s">
        <v>581</v>
      </c>
      <c r="H63" s="399"/>
      <c r="I63" s="399"/>
      <c r="J63" s="399"/>
      <c r="K63" s="399"/>
      <c r="L63" s="399"/>
      <c r="M63" s="399"/>
      <c r="N63" s="399"/>
      <c r="O63" s="399"/>
      <c r="P63" s="400"/>
      <c r="Q63" s="6"/>
    </row>
    <row r="64" spans="2:17" ht="29.45" customHeight="1" x14ac:dyDescent="0.2">
      <c r="B64" s="4"/>
      <c r="C64" s="370" t="s">
        <v>578</v>
      </c>
      <c r="D64" s="371"/>
      <c r="E64" s="371"/>
      <c r="F64" s="372"/>
      <c r="G64" s="398" t="s">
        <v>582</v>
      </c>
      <c r="H64" s="399"/>
      <c r="I64" s="399"/>
      <c r="J64" s="399"/>
      <c r="K64" s="399"/>
      <c r="L64" s="399"/>
      <c r="M64" s="399"/>
      <c r="N64" s="399"/>
      <c r="O64" s="399"/>
      <c r="P64" s="400"/>
      <c r="Q64" s="6"/>
    </row>
    <row r="65" spans="2:17" ht="81.599999999999994" customHeight="1" x14ac:dyDescent="0.2">
      <c r="B65" s="4"/>
      <c r="C65" s="370" t="s">
        <v>447</v>
      </c>
      <c r="D65" s="371"/>
      <c r="E65" s="371"/>
      <c r="F65" s="372"/>
      <c r="G65" s="398" t="s">
        <v>451</v>
      </c>
      <c r="H65" s="399"/>
      <c r="I65" s="399"/>
      <c r="J65" s="399"/>
      <c r="K65" s="399"/>
      <c r="L65" s="399"/>
      <c r="M65" s="399"/>
      <c r="N65" s="399"/>
      <c r="O65" s="399"/>
      <c r="P65" s="400"/>
      <c r="Q65" s="6"/>
    </row>
    <row r="66" spans="2:17" ht="26.45" customHeight="1" x14ac:dyDescent="0.2">
      <c r="B66" s="4"/>
      <c r="C66" s="370" t="s">
        <v>448</v>
      </c>
      <c r="D66" s="371"/>
      <c r="E66" s="371"/>
      <c r="F66" s="372"/>
      <c r="G66" s="398" t="s">
        <v>459</v>
      </c>
      <c r="H66" s="399"/>
      <c r="I66" s="399"/>
      <c r="J66" s="399"/>
      <c r="K66" s="399"/>
      <c r="L66" s="399"/>
      <c r="M66" s="399"/>
      <c r="N66" s="399"/>
      <c r="O66" s="399"/>
      <c r="P66" s="400"/>
      <c r="Q66" s="6"/>
    </row>
    <row r="67" spans="2:17" ht="27.95" customHeight="1" x14ac:dyDescent="0.2">
      <c r="B67" s="4"/>
      <c r="C67" s="367" t="s">
        <v>239</v>
      </c>
      <c r="D67" s="368"/>
      <c r="E67" s="368"/>
      <c r="F67" s="369"/>
      <c r="G67" s="361" t="s">
        <v>240</v>
      </c>
      <c r="H67" s="361"/>
      <c r="I67" s="361"/>
      <c r="J67" s="361"/>
      <c r="K67" s="361"/>
      <c r="L67" s="361"/>
      <c r="M67" s="361"/>
      <c r="N67" s="361"/>
      <c r="O67" s="361"/>
      <c r="P67" s="361"/>
      <c r="Q67" s="6"/>
    </row>
    <row r="68" spans="2:17" ht="15.75" customHeight="1" x14ac:dyDescent="0.2">
      <c r="B68" s="4"/>
      <c r="C68" s="364" t="s">
        <v>23</v>
      </c>
      <c r="D68" s="364"/>
      <c r="E68" s="364"/>
      <c r="F68" s="364"/>
      <c r="G68" s="364" t="s">
        <v>128</v>
      </c>
      <c r="H68" s="364"/>
      <c r="I68" s="364"/>
      <c r="J68" s="364"/>
      <c r="K68" s="364"/>
      <c r="L68" s="364"/>
      <c r="M68" s="364"/>
      <c r="N68" s="364"/>
      <c r="O68" s="364"/>
      <c r="P68" s="364"/>
      <c r="Q68" s="6"/>
    </row>
    <row r="69" spans="2:17" ht="28.5" customHeight="1" x14ac:dyDescent="0.2">
      <c r="B69" s="4"/>
      <c r="C69" s="370" t="s">
        <v>387</v>
      </c>
      <c r="D69" s="371"/>
      <c r="E69" s="371"/>
      <c r="F69" s="372"/>
      <c r="G69" s="365" t="s">
        <v>452</v>
      </c>
      <c r="H69" s="365"/>
      <c r="I69" s="365"/>
      <c r="J69" s="365"/>
      <c r="K69" s="365"/>
      <c r="L69" s="365"/>
      <c r="M69" s="365"/>
      <c r="N69" s="365"/>
      <c r="O69" s="365"/>
      <c r="P69" s="365"/>
      <c r="Q69" s="6"/>
    </row>
    <row r="70" spans="2:17" ht="28.5" customHeight="1" x14ac:dyDescent="0.2">
      <c r="B70" s="4"/>
      <c r="C70" s="364" t="s">
        <v>22</v>
      </c>
      <c r="D70" s="364"/>
      <c r="E70" s="364"/>
      <c r="F70" s="364"/>
      <c r="G70" s="365" t="s">
        <v>453</v>
      </c>
      <c r="H70" s="365"/>
      <c r="I70" s="365"/>
      <c r="J70" s="365"/>
      <c r="K70" s="365"/>
      <c r="L70" s="365"/>
      <c r="M70" s="365"/>
      <c r="N70" s="365"/>
      <c r="O70" s="365"/>
      <c r="P70" s="365"/>
      <c r="Q70" s="6"/>
    </row>
    <row r="71" spans="2:17" ht="16.5" customHeight="1" x14ac:dyDescent="0.2">
      <c r="B71" s="4"/>
      <c r="C71" s="364" t="s">
        <v>79</v>
      </c>
      <c r="D71" s="364"/>
      <c r="E71" s="364"/>
      <c r="F71" s="364"/>
      <c r="G71" s="364" t="s">
        <v>129</v>
      </c>
      <c r="H71" s="364"/>
      <c r="I71" s="364"/>
      <c r="J71" s="364"/>
      <c r="K71" s="364"/>
      <c r="L71" s="364"/>
      <c r="M71" s="364"/>
      <c r="N71" s="364"/>
      <c r="O71" s="364"/>
      <c r="P71" s="364"/>
      <c r="Q71" s="6"/>
    </row>
    <row r="72" spans="2:17" ht="32.450000000000003" customHeight="1" x14ac:dyDescent="0.2">
      <c r="B72" s="4"/>
      <c r="C72" s="370" t="s">
        <v>449</v>
      </c>
      <c r="D72" s="371"/>
      <c r="E72" s="371"/>
      <c r="F72" s="372"/>
      <c r="G72" s="365" t="s">
        <v>450</v>
      </c>
      <c r="H72" s="365"/>
      <c r="I72" s="365"/>
      <c r="J72" s="365"/>
      <c r="K72" s="365"/>
      <c r="L72" s="365"/>
      <c r="M72" s="365"/>
      <c r="N72" s="365"/>
      <c r="O72" s="365"/>
      <c r="P72" s="365"/>
      <c r="Q72" s="6"/>
    </row>
    <row r="73" spans="2:17" ht="39.6" customHeight="1" x14ac:dyDescent="0.2">
      <c r="B73" s="4"/>
      <c r="C73" s="364" t="s">
        <v>251</v>
      </c>
      <c r="D73" s="364"/>
      <c r="E73" s="364"/>
      <c r="F73" s="364"/>
      <c r="G73" s="365" t="s">
        <v>242</v>
      </c>
      <c r="H73" s="365"/>
      <c r="I73" s="365"/>
      <c r="J73" s="365"/>
      <c r="K73" s="365"/>
      <c r="L73" s="365"/>
      <c r="M73" s="365"/>
      <c r="N73" s="365"/>
      <c r="O73" s="365"/>
      <c r="P73" s="365"/>
      <c r="Q73" s="6"/>
    </row>
    <row r="74" spans="2:17" ht="41.45" customHeight="1" x14ac:dyDescent="0.2">
      <c r="B74" s="4"/>
      <c r="C74" s="364" t="s">
        <v>395</v>
      </c>
      <c r="D74" s="364"/>
      <c r="E74" s="364"/>
      <c r="F74" s="364"/>
      <c r="G74" s="365" t="s">
        <v>454</v>
      </c>
      <c r="H74" s="365"/>
      <c r="I74" s="365"/>
      <c r="J74" s="365"/>
      <c r="K74" s="365"/>
      <c r="L74" s="365"/>
      <c r="M74" s="365"/>
      <c r="N74" s="365"/>
      <c r="O74" s="365"/>
      <c r="P74" s="365"/>
      <c r="Q74" s="6"/>
    </row>
    <row r="75" spans="2:17" ht="17.100000000000001" customHeight="1" x14ac:dyDescent="0.2">
      <c r="B75" s="4"/>
      <c r="C75" s="364" t="s">
        <v>127</v>
      </c>
      <c r="D75" s="364"/>
      <c r="E75" s="364"/>
      <c r="F75" s="364"/>
      <c r="G75" s="364" t="s">
        <v>130</v>
      </c>
      <c r="H75" s="364"/>
      <c r="I75" s="364"/>
      <c r="J75" s="364"/>
      <c r="K75" s="364"/>
      <c r="L75" s="364"/>
      <c r="M75" s="364"/>
      <c r="N75" s="364"/>
      <c r="O75" s="364"/>
      <c r="P75" s="364"/>
      <c r="Q75" s="6"/>
    </row>
    <row r="76" spans="2:17" ht="20.100000000000001" customHeight="1" x14ac:dyDescent="0.2">
      <c r="B76" s="4"/>
      <c r="C76" s="364" t="s">
        <v>93</v>
      </c>
      <c r="D76" s="364"/>
      <c r="E76" s="364"/>
      <c r="F76" s="364"/>
      <c r="G76" s="365" t="s">
        <v>455</v>
      </c>
      <c r="H76" s="364"/>
      <c r="I76" s="364"/>
      <c r="J76" s="364"/>
      <c r="K76" s="364"/>
      <c r="L76" s="364"/>
      <c r="M76" s="364"/>
      <c r="N76" s="364"/>
      <c r="O76" s="364"/>
      <c r="P76" s="364"/>
      <c r="Q76" s="6"/>
    </row>
    <row r="77" spans="2:17" ht="28.5" customHeight="1" x14ac:dyDescent="0.2">
      <c r="B77" s="4"/>
      <c r="C77" s="370" t="s">
        <v>401</v>
      </c>
      <c r="D77" s="371"/>
      <c r="E77" s="371"/>
      <c r="F77" s="372"/>
      <c r="G77" s="365" t="s">
        <v>456</v>
      </c>
      <c r="H77" s="365"/>
      <c r="I77" s="365"/>
      <c r="J77" s="365"/>
      <c r="K77" s="365"/>
      <c r="L77" s="365"/>
      <c r="M77" s="365"/>
      <c r="N77" s="365"/>
      <c r="O77" s="365"/>
      <c r="P77" s="365"/>
      <c r="Q77" s="6"/>
    </row>
    <row r="78" spans="2:17" ht="28.5" customHeight="1" x14ac:dyDescent="0.2">
      <c r="B78" s="4"/>
      <c r="C78" s="367" t="s">
        <v>34</v>
      </c>
      <c r="D78" s="368"/>
      <c r="E78" s="368"/>
      <c r="F78" s="369"/>
      <c r="G78" s="361" t="s">
        <v>244</v>
      </c>
      <c r="H78" s="361"/>
      <c r="I78" s="361"/>
      <c r="J78" s="361"/>
      <c r="K78" s="361"/>
      <c r="L78" s="361"/>
      <c r="M78" s="361"/>
      <c r="N78" s="361"/>
      <c r="O78" s="361"/>
      <c r="P78" s="361"/>
      <c r="Q78" s="6"/>
    </row>
    <row r="79" spans="2:17" ht="28.5" customHeight="1" x14ac:dyDescent="0.2">
      <c r="B79" s="4"/>
      <c r="C79" s="367" t="s">
        <v>234</v>
      </c>
      <c r="D79" s="368"/>
      <c r="E79" s="368"/>
      <c r="F79" s="369"/>
      <c r="G79" s="361" t="s">
        <v>457</v>
      </c>
      <c r="H79" s="361"/>
      <c r="I79" s="361"/>
      <c r="J79" s="361"/>
      <c r="K79" s="361"/>
      <c r="L79" s="361"/>
      <c r="M79" s="361"/>
      <c r="N79" s="361"/>
      <c r="O79" s="361"/>
      <c r="P79" s="361"/>
      <c r="Q79" s="6"/>
    </row>
    <row r="80" spans="2:17" ht="16.5" customHeight="1" x14ac:dyDescent="0.2">
      <c r="B80" s="4"/>
      <c r="C80" s="367" t="s">
        <v>400</v>
      </c>
      <c r="D80" s="368"/>
      <c r="E80" s="368"/>
      <c r="F80" s="369"/>
      <c r="G80" s="383" t="s">
        <v>458</v>
      </c>
      <c r="H80" s="384"/>
      <c r="I80" s="384"/>
      <c r="J80" s="384"/>
      <c r="K80" s="384"/>
      <c r="L80" s="384"/>
      <c r="M80" s="384"/>
      <c r="N80" s="384"/>
      <c r="O80" s="384"/>
      <c r="P80" s="385"/>
      <c r="Q80" s="6"/>
    </row>
    <row r="81" spans="2:17" ht="15" customHeight="1" x14ac:dyDescent="0.2">
      <c r="B81" s="4"/>
      <c r="C81" s="367" t="s">
        <v>75</v>
      </c>
      <c r="D81" s="368"/>
      <c r="E81" s="368"/>
      <c r="F81" s="369"/>
      <c r="G81" s="361" t="s">
        <v>243</v>
      </c>
      <c r="H81" s="361"/>
      <c r="I81" s="361"/>
      <c r="J81" s="361"/>
      <c r="K81" s="361"/>
      <c r="L81" s="361"/>
      <c r="M81" s="361"/>
      <c r="N81" s="361"/>
      <c r="O81" s="361"/>
      <c r="P81" s="361"/>
      <c r="Q81" s="6"/>
    </row>
    <row r="82" spans="2:17" ht="14.1" customHeight="1" x14ac:dyDescent="0.2">
      <c r="B82" s="4"/>
      <c r="C82" s="373" t="s">
        <v>76</v>
      </c>
      <c r="D82" s="373"/>
      <c r="E82" s="373"/>
      <c r="F82" s="373"/>
      <c r="G82" s="361" t="s">
        <v>241</v>
      </c>
      <c r="H82" s="361"/>
      <c r="I82" s="361"/>
      <c r="J82" s="361"/>
      <c r="K82" s="361"/>
      <c r="L82" s="361"/>
      <c r="M82" s="361"/>
      <c r="N82" s="361"/>
      <c r="O82" s="361"/>
      <c r="P82" s="361"/>
      <c r="Q82" s="6"/>
    </row>
    <row r="83" spans="2:17" ht="15.75" x14ac:dyDescent="0.2">
      <c r="B83" s="4"/>
      <c r="C83" s="49"/>
      <c r="D83" s="49"/>
      <c r="E83" s="49"/>
      <c r="F83" s="49"/>
      <c r="G83" s="49"/>
      <c r="H83" s="49"/>
      <c r="I83" s="49"/>
      <c r="J83" s="49"/>
      <c r="K83" s="49"/>
      <c r="L83" s="49"/>
      <c r="M83" s="49"/>
      <c r="N83" s="49"/>
      <c r="O83" s="49"/>
      <c r="P83" s="49"/>
      <c r="Q83" s="6"/>
    </row>
    <row r="84" spans="2:17" ht="15.75" x14ac:dyDescent="0.2">
      <c r="B84" s="4"/>
      <c r="C84" s="366" t="s">
        <v>533</v>
      </c>
      <c r="D84" s="366"/>
      <c r="E84" s="366"/>
      <c r="F84" s="366"/>
      <c r="G84" s="49"/>
      <c r="H84" s="49"/>
      <c r="I84" s="49"/>
      <c r="J84" s="49"/>
      <c r="K84" s="49"/>
      <c r="L84" s="49"/>
      <c r="M84" s="49"/>
      <c r="N84" s="49"/>
      <c r="O84" s="49"/>
      <c r="P84" s="49"/>
      <c r="Q84" s="6"/>
    </row>
    <row r="85" spans="2:17" ht="18.600000000000001" customHeight="1" x14ac:dyDescent="0.2">
      <c r="B85" s="4"/>
      <c r="C85" s="374" t="s">
        <v>583</v>
      </c>
      <c r="D85" s="374"/>
      <c r="E85" s="374"/>
      <c r="F85" s="374"/>
      <c r="G85" s="374"/>
      <c r="H85" s="374"/>
      <c r="I85" s="374"/>
      <c r="J85" s="374"/>
      <c r="K85" s="49"/>
      <c r="L85" s="49"/>
      <c r="M85" s="49"/>
      <c r="N85" s="49"/>
      <c r="O85" s="49"/>
      <c r="P85" s="49"/>
      <c r="Q85" s="6"/>
    </row>
    <row r="86" spans="2:17" ht="12.6" customHeight="1" x14ac:dyDescent="0.2">
      <c r="B86" s="4"/>
      <c r="C86" s="356" t="s">
        <v>531</v>
      </c>
      <c r="D86" s="356"/>
      <c r="E86" s="356"/>
      <c r="F86" s="356"/>
      <c r="G86" s="356"/>
      <c r="H86" s="356"/>
      <c r="I86" s="356"/>
      <c r="J86" s="356"/>
      <c r="K86" s="356"/>
      <c r="L86" s="356"/>
      <c r="M86" s="356"/>
      <c r="N86" s="356"/>
      <c r="O86" s="356"/>
      <c r="P86" s="356"/>
      <c r="Q86" s="6"/>
    </row>
    <row r="87" spans="2:17" ht="14.1" customHeight="1" x14ac:dyDescent="0.2">
      <c r="B87" s="4"/>
      <c r="C87" s="356"/>
      <c r="D87" s="356"/>
      <c r="E87" s="356"/>
      <c r="F87" s="356"/>
      <c r="G87" s="356"/>
      <c r="H87" s="356"/>
      <c r="I87" s="356"/>
      <c r="J87" s="356"/>
      <c r="K87" s="356"/>
      <c r="L87" s="356"/>
      <c r="M87" s="356"/>
      <c r="N87" s="356"/>
      <c r="O87" s="356"/>
      <c r="P87" s="356"/>
      <c r="Q87" s="6"/>
    </row>
    <row r="88" spans="2:17" ht="30.95" customHeight="1" x14ac:dyDescent="0.2">
      <c r="B88" s="4"/>
      <c r="C88" s="356"/>
      <c r="D88" s="356"/>
      <c r="E88" s="356"/>
      <c r="F88" s="356"/>
      <c r="G88" s="356"/>
      <c r="H88" s="356"/>
      <c r="I88" s="356"/>
      <c r="J88" s="356"/>
      <c r="K88" s="356"/>
      <c r="L88" s="356"/>
      <c r="M88" s="356"/>
      <c r="N88" s="356"/>
      <c r="O88" s="356"/>
      <c r="P88" s="356"/>
      <c r="Q88" s="6"/>
    </row>
    <row r="89" spans="2:17" ht="6" customHeight="1" x14ac:dyDescent="0.2">
      <c r="B89" s="4"/>
      <c r="C89" s="143"/>
      <c r="D89" s="143"/>
      <c r="E89" s="143"/>
      <c r="F89" s="143"/>
      <c r="G89" s="143"/>
      <c r="H89" s="143"/>
      <c r="I89" s="143"/>
      <c r="J89" s="143"/>
      <c r="K89" s="143"/>
      <c r="L89" s="143"/>
      <c r="M89" s="143"/>
      <c r="N89" s="143"/>
      <c r="O89" s="143"/>
      <c r="P89" s="143"/>
      <c r="Q89" s="6"/>
    </row>
    <row r="90" spans="2:17" ht="60.6" customHeight="1" x14ac:dyDescent="0.2">
      <c r="B90" s="4"/>
      <c r="C90" s="375" t="s">
        <v>532</v>
      </c>
      <c r="D90" s="375"/>
      <c r="E90" s="375"/>
      <c r="F90" s="375"/>
      <c r="G90" s="193" t="s">
        <v>490</v>
      </c>
      <c r="H90" s="193" t="s">
        <v>491</v>
      </c>
      <c r="I90" s="193" t="s">
        <v>545</v>
      </c>
      <c r="J90" s="193" t="s">
        <v>546</v>
      </c>
      <c r="K90" s="143"/>
      <c r="L90" s="143"/>
      <c r="M90" s="143"/>
      <c r="N90" s="143"/>
      <c r="O90" s="143"/>
      <c r="P90" s="143"/>
      <c r="Q90" s="6"/>
    </row>
    <row r="91" spans="2:17" ht="29.1" customHeight="1" x14ac:dyDescent="0.2">
      <c r="B91" s="4"/>
      <c r="C91" s="357" t="s">
        <v>272</v>
      </c>
      <c r="D91" s="358" t="s">
        <v>272</v>
      </c>
      <c r="E91" s="358" t="s">
        <v>272</v>
      </c>
      <c r="F91" s="359" t="s">
        <v>272</v>
      </c>
      <c r="G91" s="194">
        <v>2</v>
      </c>
      <c r="H91" s="194">
        <v>2</v>
      </c>
      <c r="I91" s="194">
        <v>0.25</v>
      </c>
      <c r="J91" s="194">
        <v>10</v>
      </c>
      <c r="K91" s="143"/>
      <c r="L91" s="143"/>
      <c r="M91" s="143"/>
      <c r="N91" s="143"/>
      <c r="O91" s="143"/>
      <c r="P91" s="143"/>
      <c r="Q91" s="6"/>
    </row>
    <row r="92" spans="2:17" ht="20.100000000000001" customHeight="1" x14ac:dyDescent="0.2">
      <c r="B92" s="4"/>
      <c r="C92" s="353" t="s">
        <v>273</v>
      </c>
      <c r="D92" s="354" t="s">
        <v>273</v>
      </c>
      <c r="E92" s="354" t="s">
        <v>273</v>
      </c>
      <c r="F92" s="355" t="s">
        <v>273</v>
      </c>
      <c r="G92" s="195">
        <v>6</v>
      </c>
      <c r="H92" s="195">
        <v>6</v>
      </c>
      <c r="I92" s="194">
        <v>0.25</v>
      </c>
      <c r="J92" s="194">
        <v>10</v>
      </c>
      <c r="K92" s="143"/>
      <c r="L92" s="143"/>
      <c r="M92" s="143"/>
      <c r="N92" s="143"/>
      <c r="O92" s="143"/>
      <c r="P92" s="143"/>
      <c r="Q92" s="6"/>
    </row>
    <row r="93" spans="2:17" ht="15.95" customHeight="1" x14ac:dyDescent="0.2">
      <c r="B93" s="4"/>
      <c r="C93" s="353" t="s">
        <v>274</v>
      </c>
      <c r="D93" s="354" t="s">
        <v>274</v>
      </c>
      <c r="E93" s="354" t="s">
        <v>274</v>
      </c>
      <c r="F93" s="355" t="s">
        <v>274</v>
      </c>
      <c r="G93" s="195">
        <v>6</v>
      </c>
      <c r="H93" s="195">
        <v>6</v>
      </c>
      <c r="I93" s="194">
        <v>0.25</v>
      </c>
      <c r="J93" s="194">
        <v>10</v>
      </c>
      <c r="K93" s="143"/>
      <c r="L93" s="143"/>
      <c r="M93" s="143"/>
      <c r="N93" s="143"/>
      <c r="O93" s="143"/>
      <c r="P93" s="143"/>
      <c r="Q93" s="6"/>
    </row>
    <row r="94" spans="2:17" ht="18.95" customHeight="1" x14ac:dyDescent="0.2">
      <c r="B94" s="4"/>
      <c r="C94" s="357" t="s">
        <v>275</v>
      </c>
      <c r="D94" s="358" t="s">
        <v>275</v>
      </c>
      <c r="E94" s="358" t="s">
        <v>275</v>
      </c>
      <c r="F94" s="359" t="s">
        <v>275</v>
      </c>
      <c r="G94" s="194">
        <v>1</v>
      </c>
      <c r="H94" s="194">
        <v>0.6</v>
      </c>
      <c r="I94" s="194">
        <v>0.25</v>
      </c>
      <c r="J94" s="194">
        <v>10</v>
      </c>
      <c r="K94" s="143"/>
      <c r="L94" s="143"/>
      <c r="M94" s="143"/>
      <c r="N94" s="143"/>
      <c r="O94" s="143"/>
      <c r="P94" s="143"/>
      <c r="Q94" s="6"/>
    </row>
    <row r="95" spans="2:17" ht="12.6" customHeight="1" x14ac:dyDescent="0.2">
      <c r="B95" s="4"/>
      <c r="C95" s="353" t="s">
        <v>276</v>
      </c>
      <c r="D95" s="354" t="s">
        <v>276</v>
      </c>
      <c r="E95" s="354" t="s">
        <v>276</v>
      </c>
      <c r="F95" s="355" t="s">
        <v>276</v>
      </c>
      <c r="G95" s="195">
        <v>6</v>
      </c>
      <c r="H95" s="195">
        <v>6</v>
      </c>
      <c r="I95" s="194">
        <v>0.25</v>
      </c>
      <c r="J95" s="194">
        <v>10</v>
      </c>
      <c r="K95" s="143"/>
      <c r="L95" s="143"/>
      <c r="M95" s="143"/>
      <c r="N95" s="143"/>
      <c r="O95" s="143"/>
      <c r="P95" s="143"/>
      <c r="Q95" s="6"/>
    </row>
    <row r="96" spans="2:17" ht="30" customHeight="1" x14ac:dyDescent="0.2">
      <c r="B96" s="4"/>
      <c r="C96" s="353" t="s">
        <v>277</v>
      </c>
      <c r="D96" s="354" t="s">
        <v>277</v>
      </c>
      <c r="E96" s="354" t="s">
        <v>277</v>
      </c>
      <c r="F96" s="355" t="s">
        <v>277</v>
      </c>
      <c r="G96" s="195">
        <v>6</v>
      </c>
      <c r="H96" s="195">
        <v>6</v>
      </c>
      <c r="I96" s="194">
        <v>0.25</v>
      </c>
      <c r="J96" s="194">
        <v>10</v>
      </c>
      <c r="K96" s="143"/>
      <c r="L96" s="143"/>
      <c r="M96" s="143"/>
      <c r="N96" s="143"/>
      <c r="O96" s="143"/>
      <c r="P96" s="143"/>
      <c r="Q96" s="6"/>
    </row>
    <row r="97" spans="2:17" ht="20.45" customHeight="1" x14ac:dyDescent="0.2">
      <c r="B97" s="4"/>
      <c r="C97" s="353" t="s">
        <v>278</v>
      </c>
      <c r="D97" s="354" t="s">
        <v>278</v>
      </c>
      <c r="E97" s="354" t="s">
        <v>278</v>
      </c>
      <c r="F97" s="355" t="s">
        <v>278</v>
      </c>
      <c r="G97" s="195">
        <v>6</v>
      </c>
      <c r="H97" s="195">
        <v>6</v>
      </c>
      <c r="I97" s="194">
        <v>0.25</v>
      </c>
      <c r="J97" s="194">
        <v>10</v>
      </c>
      <c r="K97" s="143"/>
      <c r="L97" s="143"/>
      <c r="M97" s="143"/>
      <c r="N97" s="143"/>
      <c r="O97" s="143"/>
      <c r="P97" s="143"/>
      <c r="Q97" s="6"/>
    </row>
    <row r="98" spans="2:17" ht="20.100000000000001" customHeight="1" x14ac:dyDescent="0.2">
      <c r="B98" s="4"/>
      <c r="C98" s="357" t="s">
        <v>279</v>
      </c>
      <c r="D98" s="358" t="s">
        <v>279</v>
      </c>
      <c r="E98" s="358" t="s">
        <v>279</v>
      </c>
      <c r="F98" s="359" t="s">
        <v>279</v>
      </c>
      <c r="G98" s="194">
        <v>1</v>
      </c>
      <c r="H98" s="194">
        <v>1</v>
      </c>
      <c r="I98" s="194">
        <v>0.25</v>
      </c>
      <c r="J98" s="194">
        <v>10</v>
      </c>
      <c r="K98" s="143"/>
      <c r="L98" s="143"/>
      <c r="M98" s="143"/>
      <c r="N98" s="143"/>
      <c r="O98" s="143"/>
      <c r="P98" s="143"/>
      <c r="Q98" s="6"/>
    </row>
    <row r="99" spans="2:17" ht="21.95" customHeight="1" x14ac:dyDescent="0.2">
      <c r="B99" s="4"/>
      <c r="C99" s="353" t="s">
        <v>280</v>
      </c>
      <c r="D99" s="354" t="s">
        <v>280</v>
      </c>
      <c r="E99" s="354" t="s">
        <v>280</v>
      </c>
      <c r="F99" s="355" t="s">
        <v>280</v>
      </c>
      <c r="G99" s="195">
        <v>6</v>
      </c>
      <c r="H99" s="195">
        <v>6</v>
      </c>
      <c r="I99" s="194">
        <v>0.25</v>
      </c>
      <c r="J99" s="194">
        <v>10</v>
      </c>
      <c r="K99" s="143"/>
      <c r="L99" s="143"/>
      <c r="M99" s="143"/>
      <c r="N99" s="143"/>
      <c r="O99" s="143"/>
      <c r="P99" s="143"/>
      <c r="Q99" s="6"/>
    </row>
    <row r="100" spans="2:17" ht="33.950000000000003" customHeight="1" x14ac:dyDescent="0.2">
      <c r="B100" s="4"/>
      <c r="C100" s="353" t="s">
        <v>281</v>
      </c>
      <c r="D100" s="354" t="s">
        <v>281</v>
      </c>
      <c r="E100" s="354" t="s">
        <v>281</v>
      </c>
      <c r="F100" s="355" t="s">
        <v>281</v>
      </c>
      <c r="G100" s="195">
        <v>6</v>
      </c>
      <c r="H100" s="195">
        <v>6</v>
      </c>
      <c r="I100" s="194">
        <v>0.25</v>
      </c>
      <c r="J100" s="194">
        <v>10</v>
      </c>
      <c r="K100" s="143"/>
      <c r="L100" s="143"/>
      <c r="M100" s="143"/>
      <c r="N100" s="143"/>
      <c r="O100" s="143"/>
      <c r="P100" s="143"/>
      <c r="Q100" s="6"/>
    </row>
    <row r="101" spans="2:17" ht="14.45" customHeight="1" x14ac:dyDescent="0.2">
      <c r="B101" s="4"/>
      <c r="C101" s="353" t="s">
        <v>282</v>
      </c>
      <c r="D101" s="354" t="s">
        <v>282</v>
      </c>
      <c r="E101" s="354" t="s">
        <v>282</v>
      </c>
      <c r="F101" s="355" t="s">
        <v>282</v>
      </c>
      <c r="G101" s="195">
        <v>6</v>
      </c>
      <c r="H101" s="195">
        <v>6</v>
      </c>
      <c r="I101" s="194">
        <v>0.25</v>
      </c>
      <c r="J101" s="194">
        <v>10</v>
      </c>
      <c r="K101" s="143"/>
      <c r="L101" s="143"/>
      <c r="M101" s="143"/>
      <c r="N101" s="143"/>
      <c r="O101" s="143"/>
      <c r="P101" s="143"/>
      <c r="Q101" s="6"/>
    </row>
    <row r="102" spans="2:17" ht="17.45" customHeight="1" x14ac:dyDescent="0.2">
      <c r="B102" s="4"/>
      <c r="C102" s="357" t="s">
        <v>283</v>
      </c>
      <c r="D102" s="358" t="s">
        <v>283</v>
      </c>
      <c r="E102" s="358" t="s">
        <v>283</v>
      </c>
      <c r="F102" s="359" t="s">
        <v>283</v>
      </c>
      <c r="G102" s="194">
        <v>1</v>
      </c>
      <c r="H102" s="194">
        <v>1</v>
      </c>
      <c r="I102" s="194">
        <v>0.25</v>
      </c>
      <c r="J102" s="194">
        <v>10</v>
      </c>
      <c r="K102" s="143"/>
      <c r="L102" s="143"/>
      <c r="M102" s="143"/>
      <c r="N102" s="143"/>
      <c r="O102" s="143"/>
      <c r="P102" s="143"/>
      <c r="Q102" s="6"/>
    </row>
    <row r="103" spans="2:17" ht="18.600000000000001" customHeight="1" x14ac:dyDescent="0.2">
      <c r="B103" s="4"/>
      <c r="C103" s="353" t="s">
        <v>284</v>
      </c>
      <c r="D103" s="354" t="s">
        <v>284</v>
      </c>
      <c r="E103" s="354" t="s">
        <v>284</v>
      </c>
      <c r="F103" s="355" t="s">
        <v>284</v>
      </c>
      <c r="G103" s="195">
        <v>6</v>
      </c>
      <c r="H103" s="195">
        <v>6</v>
      </c>
      <c r="I103" s="194">
        <v>0.25</v>
      </c>
      <c r="J103" s="194">
        <v>10</v>
      </c>
      <c r="K103" s="143"/>
      <c r="L103" s="143"/>
      <c r="M103" s="143"/>
      <c r="N103" s="143"/>
      <c r="O103" s="143"/>
      <c r="P103" s="143"/>
      <c r="Q103" s="6"/>
    </row>
    <row r="104" spans="2:17" ht="15.95" customHeight="1" x14ac:dyDescent="0.2">
      <c r="B104" s="4"/>
      <c r="C104" s="357" t="s">
        <v>285</v>
      </c>
      <c r="D104" s="358" t="s">
        <v>285</v>
      </c>
      <c r="E104" s="358" t="s">
        <v>285</v>
      </c>
      <c r="F104" s="359" t="s">
        <v>285</v>
      </c>
      <c r="G104" s="194">
        <v>2.5</v>
      </c>
      <c r="H104" s="194">
        <v>2.5</v>
      </c>
      <c r="I104" s="194">
        <v>0.25</v>
      </c>
      <c r="J104" s="194">
        <v>10</v>
      </c>
      <c r="K104" s="143"/>
      <c r="L104" s="143"/>
      <c r="M104" s="143"/>
      <c r="N104" s="143"/>
      <c r="O104" s="143"/>
      <c r="P104" s="143"/>
      <c r="Q104" s="6"/>
    </row>
    <row r="105" spans="2:17" ht="17.100000000000001" customHeight="1" x14ac:dyDescent="0.2">
      <c r="B105" s="4"/>
      <c r="C105" s="353" t="s">
        <v>286</v>
      </c>
      <c r="D105" s="354" t="s">
        <v>286</v>
      </c>
      <c r="E105" s="354" t="s">
        <v>286</v>
      </c>
      <c r="F105" s="355" t="s">
        <v>286</v>
      </c>
      <c r="G105" s="195">
        <v>6</v>
      </c>
      <c r="H105" s="195">
        <v>6</v>
      </c>
      <c r="I105" s="194">
        <v>0.25</v>
      </c>
      <c r="J105" s="194">
        <v>10</v>
      </c>
      <c r="K105" s="143"/>
      <c r="L105" s="143"/>
      <c r="M105" s="143"/>
      <c r="N105" s="143"/>
      <c r="O105" s="143"/>
      <c r="P105" s="143"/>
      <c r="Q105" s="6"/>
    </row>
    <row r="106" spans="2:17" ht="18.600000000000001" customHeight="1" x14ac:dyDescent="0.2">
      <c r="B106" s="4"/>
      <c r="C106" s="353" t="s">
        <v>287</v>
      </c>
      <c r="D106" s="354" t="s">
        <v>287</v>
      </c>
      <c r="E106" s="354" t="s">
        <v>287</v>
      </c>
      <c r="F106" s="355" t="s">
        <v>287</v>
      </c>
      <c r="G106" s="195">
        <v>6</v>
      </c>
      <c r="H106" s="195">
        <v>6</v>
      </c>
      <c r="I106" s="194">
        <v>0.25</v>
      </c>
      <c r="J106" s="194">
        <v>10</v>
      </c>
      <c r="K106" s="143"/>
      <c r="L106" s="143"/>
      <c r="M106" s="143"/>
      <c r="N106" s="143"/>
      <c r="O106" s="143"/>
      <c r="P106" s="143"/>
      <c r="Q106" s="6"/>
    </row>
    <row r="107" spans="2:17" ht="17.45" customHeight="1" x14ac:dyDescent="0.2">
      <c r="B107" s="4"/>
      <c r="C107" s="357" t="s">
        <v>288</v>
      </c>
      <c r="D107" s="358" t="s">
        <v>288</v>
      </c>
      <c r="E107" s="358" t="s">
        <v>288</v>
      </c>
      <c r="F107" s="359" t="s">
        <v>288</v>
      </c>
      <c r="G107" s="194">
        <v>1</v>
      </c>
      <c r="H107" s="194">
        <v>1</v>
      </c>
      <c r="I107" s="194">
        <v>0.25</v>
      </c>
      <c r="J107" s="194">
        <v>10</v>
      </c>
      <c r="K107" s="143"/>
      <c r="L107" s="143"/>
      <c r="M107" s="143"/>
      <c r="N107" s="143"/>
      <c r="O107" s="143"/>
      <c r="P107" s="143"/>
      <c r="Q107" s="6"/>
    </row>
    <row r="108" spans="2:17" ht="23.1" customHeight="1" x14ac:dyDescent="0.2">
      <c r="B108" s="4"/>
      <c r="C108" s="353" t="s">
        <v>289</v>
      </c>
      <c r="D108" s="354" t="s">
        <v>289</v>
      </c>
      <c r="E108" s="354" t="s">
        <v>289</v>
      </c>
      <c r="F108" s="355" t="s">
        <v>289</v>
      </c>
      <c r="G108" s="195">
        <v>6</v>
      </c>
      <c r="H108" s="195">
        <v>6</v>
      </c>
      <c r="I108" s="194">
        <v>0.25</v>
      </c>
      <c r="J108" s="194">
        <v>10</v>
      </c>
      <c r="K108" s="143"/>
      <c r="L108" s="143"/>
      <c r="M108" s="143"/>
      <c r="N108" s="143"/>
      <c r="O108" s="143"/>
      <c r="P108" s="143"/>
      <c r="Q108" s="6"/>
    </row>
    <row r="109" spans="2:17" ht="15.95" customHeight="1" x14ac:dyDescent="0.2">
      <c r="B109" s="4"/>
      <c r="C109" s="353" t="s">
        <v>290</v>
      </c>
      <c r="D109" s="354" t="s">
        <v>290</v>
      </c>
      <c r="E109" s="354" t="s">
        <v>290</v>
      </c>
      <c r="F109" s="355" t="s">
        <v>290</v>
      </c>
      <c r="G109" s="195">
        <v>6</v>
      </c>
      <c r="H109" s="195">
        <v>6</v>
      </c>
      <c r="I109" s="194">
        <v>0.25</v>
      </c>
      <c r="J109" s="194">
        <v>10</v>
      </c>
      <c r="K109" s="143"/>
      <c r="L109" s="143"/>
      <c r="M109" s="143"/>
      <c r="N109" s="143"/>
      <c r="O109" s="143"/>
      <c r="P109" s="143"/>
      <c r="Q109" s="6"/>
    </row>
    <row r="110" spans="2:17" ht="15.6" customHeight="1" x14ac:dyDescent="0.2">
      <c r="B110" s="4"/>
      <c r="C110" s="353" t="s">
        <v>291</v>
      </c>
      <c r="D110" s="354" t="s">
        <v>291</v>
      </c>
      <c r="E110" s="354" t="s">
        <v>291</v>
      </c>
      <c r="F110" s="355" t="s">
        <v>291</v>
      </c>
      <c r="G110" s="195">
        <v>6</v>
      </c>
      <c r="H110" s="195">
        <v>6</v>
      </c>
      <c r="I110" s="194">
        <v>0.25</v>
      </c>
      <c r="J110" s="194">
        <v>10</v>
      </c>
      <c r="K110" s="143"/>
      <c r="L110" s="143"/>
      <c r="M110" s="143"/>
      <c r="N110" s="143"/>
      <c r="O110" s="143"/>
      <c r="P110" s="143"/>
      <c r="Q110" s="6"/>
    </row>
    <row r="111" spans="2:17" ht="14.45" customHeight="1" x14ac:dyDescent="0.2">
      <c r="B111" s="4"/>
      <c r="C111" s="357" t="s">
        <v>292</v>
      </c>
      <c r="D111" s="358" t="s">
        <v>292</v>
      </c>
      <c r="E111" s="358" t="s">
        <v>292</v>
      </c>
      <c r="F111" s="359" t="s">
        <v>292</v>
      </c>
      <c r="G111" s="194">
        <v>1</v>
      </c>
      <c r="H111" s="194">
        <v>1</v>
      </c>
      <c r="I111" s="194">
        <v>0.25</v>
      </c>
      <c r="J111" s="194">
        <v>10</v>
      </c>
      <c r="K111" s="143"/>
      <c r="L111" s="143"/>
      <c r="M111" s="143"/>
      <c r="N111" s="143"/>
      <c r="O111" s="143"/>
      <c r="P111" s="143"/>
      <c r="Q111" s="6"/>
    </row>
    <row r="112" spans="2:17" ht="18.600000000000001" customHeight="1" x14ac:dyDescent="0.2">
      <c r="B112" s="4"/>
      <c r="C112" s="353" t="s">
        <v>293</v>
      </c>
      <c r="D112" s="354" t="s">
        <v>293</v>
      </c>
      <c r="E112" s="354" t="s">
        <v>293</v>
      </c>
      <c r="F112" s="355" t="s">
        <v>293</v>
      </c>
      <c r="G112" s="195">
        <v>6</v>
      </c>
      <c r="H112" s="195">
        <v>6</v>
      </c>
      <c r="I112" s="194">
        <v>0.25</v>
      </c>
      <c r="J112" s="194">
        <v>10</v>
      </c>
      <c r="K112" s="143"/>
      <c r="L112" s="143"/>
      <c r="M112" s="143"/>
      <c r="N112" s="143"/>
      <c r="O112" s="143"/>
      <c r="P112" s="143"/>
      <c r="Q112" s="6"/>
    </row>
    <row r="113" spans="2:17" ht="27" customHeight="1" x14ac:dyDescent="0.2">
      <c r="B113" s="4"/>
      <c r="C113" s="353" t="s">
        <v>294</v>
      </c>
      <c r="D113" s="354" t="s">
        <v>294</v>
      </c>
      <c r="E113" s="354" t="s">
        <v>294</v>
      </c>
      <c r="F113" s="355" t="s">
        <v>294</v>
      </c>
      <c r="G113" s="195">
        <v>6</v>
      </c>
      <c r="H113" s="195">
        <v>6</v>
      </c>
      <c r="I113" s="194">
        <v>0.25</v>
      </c>
      <c r="J113" s="194">
        <v>10</v>
      </c>
      <c r="K113" s="143"/>
      <c r="L113" s="143"/>
      <c r="M113" s="143"/>
      <c r="N113" s="143"/>
      <c r="O113" s="143"/>
      <c r="P113" s="143"/>
      <c r="Q113" s="6"/>
    </row>
    <row r="114" spans="2:17" ht="15.6" customHeight="1" x14ac:dyDescent="0.2">
      <c r="B114" s="4"/>
      <c r="C114" s="353" t="s">
        <v>295</v>
      </c>
      <c r="D114" s="354" t="s">
        <v>295</v>
      </c>
      <c r="E114" s="354" t="s">
        <v>295</v>
      </c>
      <c r="F114" s="355" t="s">
        <v>295</v>
      </c>
      <c r="G114" s="195">
        <v>6</v>
      </c>
      <c r="H114" s="195">
        <v>6</v>
      </c>
      <c r="I114" s="194">
        <v>0.25</v>
      </c>
      <c r="J114" s="194">
        <v>10</v>
      </c>
      <c r="K114" s="143"/>
      <c r="L114" s="143"/>
      <c r="M114" s="143"/>
      <c r="N114" s="143"/>
      <c r="O114" s="143"/>
      <c r="P114" s="143"/>
      <c r="Q114" s="6"/>
    </row>
    <row r="115" spans="2:17" ht="18.600000000000001" customHeight="1" x14ac:dyDescent="0.2">
      <c r="B115" s="4"/>
      <c r="C115" s="357" t="s">
        <v>296</v>
      </c>
      <c r="D115" s="358" t="s">
        <v>296</v>
      </c>
      <c r="E115" s="358" t="s">
        <v>296</v>
      </c>
      <c r="F115" s="359" t="s">
        <v>296</v>
      </c>
      <c r="G115" s="194">
        <v>1</v>
      </c>
      <c r="H115" s="194">
        <v>1</v>
      </c>
      <c r="I115" s="194">
        <v>0.25</v>
      </c>
      <c r="J115" s="194">
        <v>10</v>
      </c>
      <c r="K115" s="143"/>
      <c r="L115" s="143"/>
      <c r="M115" s="143"/>
      <c r="N115" s="143"/>
      <c r="O115" s="143"/>
      <c r="P115" s="143"/>
      <c r="Q115" s="6"/>
    </row>
    <row r="116" spans="2:17" ht="30.6" customHeight="1" x14ac:dyDescent="0.2">
      <c r="B116" s="4"/>
      <c r="C116" s="353" t="s">
        <v>297</v>
      </c>
      <c r="D116" s="354" t="s">
        <v>297</v>
      </c>
      <c r="E116" s="354" t="s">
        <v>297</v>
      </c>
      <c r="F116" s="355" t="s">
        <v>297</v>
      </c>
      <c r="G116" s="195">
        <v>6</v>
      </c>
      <c r="H116" s="195">
        <v>6</v>
      </c>
      <c r="I116" s="194">
        <v>0.25</v>
      </c>
      <c r="J116" s="194">
        <v>10</v>
      </c>
      <c r="K116" s="143"/>
      <c r="L116" s="143"/>
      <c r="M116" s="143"/>
      <c r="N116" s="143"/>
      <c r="O116" s="143"/>
      <c r="P116" s="143"/>
      <c r="Q116" s="6"/>
    </row>
    <row r="117" spans="2:17" ht="15.95" customHeight="1" x14ac:dyDescent="0.2">
      <c r="B117" s="4"/>
      <c r="C117" s="353" t="s">
        <v>298</v>
      </c>
      <c r="D117" s="354" t="s">
        <v>298</v>
      </c>
      <c r="E117" s="354" t="s">
        <v>298</v>
      </c>
      <c r="F117" s="355" t="s">
        <v>298</v>
      </c>
      <c r="G117" s="195">
        <v>6</v>
      </c>
      <c r="H117" s="195">
        <v>6</v>
      </c>
      <c r="I117" s="194">
        <v>0.25</v>
      </c>
      <c r="J117" s="194">
        <v>10</v>
      </c>
      <c r="K117" s="143"/>
      <c r="L117" s="143"/>
      <c r="M117" s="143"/>
      <c r="N117" s="143"/>
      <c r="O117" s="143"/>
      <c r="P117" s="143"/>
      <c r="Q117" s="6"/>
    </row>
    <row r="118" spans="2:17" ht="17.100000000000001" customHeight="1" x14ac:dyDescent="0.2">
      <c r="B118" s="4"/>
      <c r="C118" s="353" t="s">
        <v>299</v>
      </c>
      <c r="D118" s="354" t="s">
        <v>299</v>
      </c>
      <c r="E118" s="354" t="s">
        <v>299</v>
      </c>
      <c r="F118" s="355" t="s">
        <v>299</v>
      </c>
      <c r="G118" s="195">
        <v>6</v>
      </c>
      <c r="H118" s="195">
        <v>6</v>
      </c>
      <c r="I118" s="194">
        <v>0.25</v>
      </c>
      <c r="J118" s="194">
        <v>10</v>
      </c>
      <c r="K118" s="143"/>
      <c r="L118" s="143"/>
      <c r="M118" s="143"/>
      <c r="N118" s="143"/>
      <c r="O118" s="143"/>
      <c r="P118" s="143"/>
      <c r="Q118" s="6"/>
    </row>
    <row r="119" spans="2:17" ht="14.45" customHeight="1" x14ac:dyDescent="0.2">
      <c r="B119" s="4"/>
      <c r="C119" s="357" t="s">
        <v>300</v>
      </c>
      <c r="D119" s="358" t="s">
        <v>300</v>
      </c>
      <c r="E119" s="358" t="s">
        <v>300</v>
      </c>
      <c r="F119" s="359" t="s">
        <v>300</v>
      </c>
      <c r="G119" s="194">
        <v>1</v>
      </c>
      <c r="H119" s="194">
        <v>1</v>
      </c>
      <c r="I119" s="194">
        <v>0.25</v>
      </c>
      <c r="J119" s="194">
        <v>10</v>
      </c>
      <c r="K119" s="143"/>
      <c r="L119" s="143"/>
      <c r="M119" s="143"/>
      <c r="N119" s="143"/>
      <c r="O119" s="143"/>
      <c r="P119" s="143"/>
      <c r="Q119" s="6"/>
    </row>
    <row r="120" spans="2:17" ht="20.100000000000001" customHeight="1" x14ac:dyDescent="0.2">
      <c r="B120" s="4"/>
      <c r="C120" s="353" t="s">
        <v>301</v>
      </c>
      <c r="D120" s="354" t="s">
        <v>301</v>
      </c>
      <c r="E120" s="354" t="s">
        <v>301</v>
      </c>
      <c r="F120" s="355" t="s">
        <v>301</v>
      </c>
      <c r="G120" s="195">
        <v>6</v>
      </c>
      <c r="H120" s="195">
        <v>6</v>
      </c>
      <c r="I120" s="194">
        <v>0.25</v>
      </c>
      <c r="J120" s="194">
        <v>10</v>
      </c>
      <c r="K120" s="143"/>
      <c r="L120" s="143"/>
      <c r="M120" s="143"/>
      <c r="N120" s="143"/>
      <c r="O120" s="143"/>
      <c r="P120" s="143"/>
      <c r="Q120" s="6"/>
    </row>
    <row r="121" spans="2:17" ht="17.45" customHeight="1" x14ac:dyDescent="0.2">
      <c r="B121" s="4"/>
      <c r="C121" s="353" t="s">
        <v>302</v>
      </c>
      <c r="D121" s="354" t="s">
        <v>302</v>
      </c>
      <c r="E121" s="354" t="s">
        <v>302</v>
      </c>
      <c r="F121" s="355" t="s">
        <v>302</v>
      </c>
      <c r="G121" s="195">
        <v>6</v>
      </c>
      <c r="H121" s="195">
        <v>6</v>
      </c>
      <c r="I121" s="194">
        <v>0.25</v>
      </c>
      <c r="J121" s="194">
        <v>10</v>
      </c>
      <c r="K121" s="143"/>
      <c r="L121" s="143"/>
      <c r="M121" s="143"/>
      <c r="N121" s="143"/>
      <c r="O121" s="143"/>
      <c r="P121" s="143"/>
      <c r="Q121" s="6"/>
    </row>
    <row r="122" spans="2:17" ht="20.45" customHeight="1" x14ac:dyDescent="0.2">
      <c r="B122" s="4"/>
      <c r="C122" s="353" t="s">
        <v>303</v>
      </c>
      <c r="D122" s="354" t="s">
        <v>303</v>
      </c>
      <c r="E122" s="354" t="s">
        <v>303</v>
      </c>
      <c r="F122" s="355" t="s">
        <v>303</v>
      </c>
      <c r="G122" s="195">
        <v>6</v>
      </c>
      <c r="H122" s="195">
        <v>6</v>
      </c>
      <c r="I122" s="194">
        <v>0.25</v>
      </c>
      <c r="J122" s="194">
        <v>10</v>
      </c>
      <c r="K122" s="143"/>
      <c r="L122" s="143"/>
      <c r="M122" s="143"/>
      <c r="N122" s="143"/>
      <c r="O122" s="143"/>
      <c r="P122" s="143"/>
      <c r="Q122" s="6"/>
    </row>
    <row r="123" spans="2:17" ht="20.100000000000001" customHeight="1" x14ac:dyDescent="0.2">
      <c r="B123" s="4"/>
      <c r="C123" s="353" t="s">
        <v>304</v>
      </c>
      <c r="D123" s="354" t="s">
        <v>304</v>
      </c>
      <c r="E123" s="354" t="s">
        <v>304</v>
      </c>
      <c r="F123" s="355" t="s">
        <v>304</v>
      </c>
      <c r="G123" s="195">
        <v>6</v>
      </c>
      <c r="H123" s="195">
        <v>6</v>
      </c>
      <c r="I123" s="194">
        <v>0.25</v>
      </c>
      <c r="J123" s="194">
        <v>10</v>
      </c>
      <c r="K123" s="143"/>
      <c r="L123" s="143"/>
      <c r="M123" s="143"/>
      <c r="N123" s="143"/>
      <c r="O123" s="143"/>
      <c r="P123" s="143"/>
      <c r="Q123" s="6"/>
    </row>
    <row r="124" spans="2:17" ht="15.6" customHeight="1" x14ac:dyDescent="0.2">
      <c r="B124" s="4"/>
      <c r="C124" s="353" t="s">
        <v>305</v>
      </c>
      <c r="D124" s="354" t="s">
        <v>305</v>
      </c>
      <c r="E124" s="354" t="s">
        <v>305</v>
      </c>
      <c r="F124" s="355" t="s">
        <v>305</v>
      </c>
      <c r="G124" s="195">
        <v>6</v>
      </c>
      <c r="H124" s="195">
        <v>6</v>
      </c>
      <c r="I124" s="194">
        <v>0.25</v>
      </c>
      <c r="J124" s="194">
        <v>10</v>
      </c>
      <c r="K124" s="143"/>
      <c r="L124" s="143"/>
      <c r="M124" s="143"/>
      <c r="N124" s="143"/>
      <c r="O124" s="143"/>
      <c r="P124" s="143"/>
      <c r="Q124" s="6"/>
    </row>
    <row r="125" spans="2:17" ht="15.95" customHeight="1" x14ac:dyDescent="0.2">
      <c r="B125" s="4"/>
      <c r="C125" s="353" t="s">
        <v>306</v>
      </c>
      <c r="D125" s="354" t="s">
        <v>306</v>
      </c>
      <c r="E125" s="354" t="s">
        <v>306</v>
      </c>
      <c r="F125" s="355" t="s">
        <v>306</v>
      </c>
      <c r="G125" s="195">
        <v>6</v>
      </c>
      <c r="H125" s="195">
        <v>6</v>
      </c>
      <c r="I125" s="194">
        <v>0.25</v>
      </c>
      <c r="J125" s="194">
        <v>10</v>
      </c>
      <c r="K125" s="143"/>
      <c r="L125" s="143"/>
      <c r="M125" s="143"/>
      <c r="N125" s="143"/>
      <c r="O125" s="143"/>
      <c r="P125" s="143"/>
      <c r="Q125" s="6"/>
    </row>
    <row r="126" spans="2:17" ht="18.95" customHeight="1" x14ac:dyDescent="0.2">
      <c r="B126" s="4"/>
      <c r="C126" s="353" t="s">
        <v>307</v>
      </c>
      <c r="D126" s="354" t="s">
        <v>307</v>
      </c>
      <c r="E126" s="354" t="s">
        <v>307</v>
      </c>
      <c r="F126" s="355" t="s">
        <v>307</v>
      </c>
      <c r="G126" s="195">
        <v>6</v>
      </c>
      <c r="H126" s="195">
        <v>6</v>
      </c>
      <c r="I126" s="194">
        <v>0.25</v>
      </c>
      <c r="J126" s="194">
        <v>10</v>
      </c>
      <c r="K126" s="143"/>
      <c r="L126" s="143"/>
      <c r="M126" s="143"/>
      <c r="N126" s="143"/>
      <c r="O126" s="143"/>
      <c r="P126" s="143"/>
      <c r="Q126" s="6"/>
    </row>
    <row r="127" spans="2:17" ht="18.600000000000001" customHeight="1" x14ac:dyDescent="0.2">
      <c r="B127" s="4"/>
      <c r="C127" s="353" t="s">
        <v>308</v>
      </c>
      <c r="D127" s="354" t="s">
        <v>308</v>
      </c>
      <c r="E127" s="354" t="s">
        <v>308</v>
      </c>
      <c r="F127" s="355" t="s">
        <v>308</v>
      </c>
      <c r="G127" s="195">
        <v>6</v>
      </c>
      <c r="H127" s="195">
        <v>6</v>
      </c>
      <c r="I127" s="194">
        <v>0.25</v>
      </c>
      <c r="J127" s="194">
        <v>10</v>
      </c>
      <c r="K127" s="143"/>
      <c r="L127" s="143"/>
      <c r="M127" s="143"/>
      <c r="N127" s="143"/>
      <c r="O127" s="143"/>
      <c r="P127" s="143"/>
      <c r="Q127" s="6"/>
    </row>
    <row r="128" spans="2:17" ht="20.100000000000001" customHeight="1" x14ac:dyDescent="0.2">
      <c r="B128" s="4"/>
      <c r="C128" s="353" t="s">
        <v>309</v>
      </c>
      <c r="D128" s="354" t="s">
        <v>309</v>
      </c>
      <c r="E128" s="354" t="s">
        <v>309</v>
      </c>
      <c r="F128" s="355" t="s">
        <v>309</v>
      </c>
      <c r="G128" s="195">
        <v>6</v>
      </c>
      <c r="H128" s="195">
        <v>6</v>
      </c>
      <c r="I128" s="194">
        <v>0.25</v>
      </c>
      <c r="J128" s="194">
        <v>10</v>
      </c>
      <c r="K128" s="143"/>
      <c r="L128" s="143"/>
      <c r="M128" s="143"/>
      <c r="N128" s="143"/>
      <c r="O128" s="143"/>
      <c r="P128" s="143"/>
      <c r="Q128" s="6"/>
    </row>
    <row r="129" spans="2:17" ht="18.95" customHeight="1" x14ac:dyDescent="0.2">
      <c r="B129" s="4"/>
      <c r="C129" s="353" t="s">
        <v>310</v>
      </c>
      <c r="D129" s="354" t="s">
        <v>310</v>
      </c>
      <c r="E129" s="354" t="s">
        <v>310</v>
      </c>
      <c r="F129" s="355" t="s">
        <v>310</v>
      </c>
      <c r="G129" s="195">
        <v>6</v>
      </c>
      <c r="H129" s="195">
        <v>6</v>
      </c>
      <c r="I129" s="194">
        <v>0.25</v>
      </c>
      <c r="J129" s="194">
        <v>10</v>
      </c>
      <c r="K129" s="143"/>
      <c r="L129" s="143"/>
      <c r="M129" s="143"/>
      <c r="N129" s="143"/>
      <c r="O129" s="143"/>
      <c r="P129" s="143"/>
      <c r="Q129" s="6"/>
    </row>
    <row r="130" spans="2:17" ht="17.100000000000001" customHeight="1" x14ac:dyDescent="0.2">
      <c r="B130" s="4"/>
      <c r="C130" s="353" t="s">
        <v>311</v>
      </c>
      <c r="D130" s="354" t="s">
        <v>311</v>
      </c>
      <c r="E130" s="354" t="s">
        <v>311</v>
      </c>
      <c r="F130" s="355" t="s">
        <v>311</v>
      </c>
      <c r="G130" s="195">
        <v>6</v>
      </c>
      <c r="H130" s="195">
        <v>6</v>
      </c>
      <c r="I130" s="194">
        <v>0.25</v>
      </c>
      <c r="J130" s="194">
        <v>10</v>
      </c>
      <c r="K130" s="143"/>
      <c r="L130" s="143"/>
      <c r="M130" s="143"/>
      <c r="N130" s="143"/>
      <c r="O130" s="143"/>
      <c r="P130" s="143"/>
      <c r="Q130" s="6"/>
    </row>
    <row r="131" spans="2:17" ht="17.45" customHeight="1" x14ac:dyDescent="0.2">
      <c r="B131" s="4"/>
      <c r="C131" s="353" t="s">
        <v>312</v>
      </c>
      <c r="D131" s="354" t="s">
        <v>312</v>
      </c>
      <c r="E131" s="354" t="s">
        <v>312</v>
      </c>
      <c r="F131" s="355" t="s">
        <v>312</v>
      </c>
      <c r="G131" s="195">
        <v>6</v>
      </c>
      <c r="H131" s="195">
        <v>6</v>
      </c>
      <c r="I131" s="194">
        <v>0.25</v>
      </c>
      <c r="J131" s="194">
        <v>10</v>
      </c>
      <c r="K131" s="143"/>
      <c r="L131" s="143"/>
      <c r="M131" s="143"/>
      <c r="N131" s="143"/>
      <c r="O131" s="143"/>
      <c r="P131" s="143"/>
      <c r="Q131" s="6"/>
    </row>
    <row r="132" spans="2:17" ht="17.100000000000001" customHeight="1" x14ac:dyDescent="0.2">
      <c r="B132" s="4"/>
      <c r="C132" s="353" t="s">
        <v>313</v>
      </c>
      <c r="D132" s="354" t="s">
        <v>313</v>
      </c>
      <c r="E132" s="354" t="s">
        <v>313</v>
      </c>
      <c r="F132" s="355" t="s">
        <v>313</v>
      </c>
      <c r="G132" s="195">
        <v>6</v>
      </c>
      <c r="H132" s="195">
        <v>6</v>
      </c>
      <c r="I132" s="194">
        <v>0.25</v>
      </c>
      <c r="J132" s="194">
        <v>10</v>
      </c>
      <c r="K132" s="143"/>
      <c r="L132" s="143"/>
      <c r="M132" s="143"/>
      <c r="N132" s="143"/>
      <c r="O132" s="143"/>
      <c r="P132" s="143"/>
      <c r="Q132" s="6"/>
    </row>
    <row r="133" spans="2:17" ht="17.100000000000001" customHeight="1" x14ac:dyDescent="0.2">
      <c r="B133" s="4"/>
      <c r="C133" s="353" t="s">
        <v>314</v>
      </c>
      <c r="D133" s="354" t="s">
        <v>314</v>
      </c>
      <c r="E133" s="354" t="s">
        <v>314</v>
      </c>
      <c r="F133" s="355" t="s">
        <v>314</v>
      </c>
      <c r="G133" s="195">
        <v>6</v>
      </c>
      <c r="H133" s="195">
        <v>6</v>
      </c>
      <c r="I133" s="194">
        <v>0.25</v>
      </c>
      <c r="J133" s="194">
        <v>10</v>
      </c>
      <c r="K133" s="143"/>
      <c r="L133" s="143"/>
      <c r="M133" s="143"/>
      <c r="N133" s="143"/>
      <c r="O133" s="143"/>
      <c r="P133" s="143"/>
      <c r="Q133" s="6"/>
    </row>
    <row r="134" spans="2:17" ht="15.95" customHeight="1" x14ac:dyDescent="0.2">
      <c r="B134" s="4"/>
      <c r="C134" s="353" t="s">
        <v>315</v>
      </c>
      <c r="D134" s="354" t="s">
        <v>315</v>
      </c>
      <c r="E134" s="354" t="s">
        <v>315</v>
      </c>
      <c r="F134" s="355" t="s">
        <v>315</v>
      </c>
      <c r="G134" s="195">
        <v>6</v>
      </c>
      <c r="H134" s="195">
        <v>6</v>
      </c>
      <c r="I134" s="194">
        <v>0.25</v>
      </c>
      <c r="J134" s="194">
        <v>10</v>
      </c>
      <c r="K134" s="143"/>
      <c r="L134" s="143"/>
      <c r="M134" s="143"/>
      <c r="N134" s="143"/>
      <c r="O134" s="143"/>
      <c r="P134" s="143"/>
      <c r="Q134" s="6"/>
    </row>
    <row r="135" spans="2:17" ht="14.45" customHeight="1" x14ac:dyDescent="0.2">
      <c r="B135" s="4"/>
      <c r="C135" s="353" t="s">
        <v>316</v>
      </c>
      <c r="D135" s="354" t="s">
        <v>316</v>
      </c>
      <c r="E135" s="354" t="s">
        <v>316</v>
      </c>
      <c r="F135" s="355" t="s">
        <v>316</v>
      </c>
      <c r="G135" s="195">
        <v>6</v>
      </c>
      <c r="H135" s="195">
        <v>6</v>
      </c>
      <c r="I135" s="194">
        <v>0.25</v>
      </c>
      <c r="J135" s="194">
        <v>10</v>
      </c>
      <c r="K135" s="143"/>
      <c r="L135" s="143"/>
      <c r="M135" s="143"/>
      <c r="N135" s="143"/>
      <c r="O135" s="143"/>
      <c r="P135" s="143"/>
      <c r="Q135" s="6"/>
    </row>
    <row r="136" spans="2:17" ht="15.95" customHeight="1" x14ac:dyDescent="0.2">
      <c r="B136" s="4"/>
      <c r="C136" s="353" t="s">
        <v>317</v>
      </c>
      <c r="D136" s="354" t="s">
        <v>317</v>
      </c>
      <c r="E136" s="354" t="s">
        <v>317</v>
      </c>
      <c r="F136" s="355" t="s">
        <v>317</v>
      </c>
      <c r="G136" s="195">
        <v>6</v>
      </c>
      <c r="H136" s="195">
        <v>6</v>
      </c>
      <c r="I136" s="194">
        <v>0.25</v>
      </c>
      <c r="J136" s="194">
        <v>10</v>
      </c>
      <c r="K136" s="143"/>
      <c r="L136" s="143"/>
      <c r="M136" s="143"/>
      <c r="N136" s="143"/>
      <c r="O136" s="143"/>
      <c r="P136" s="143"/>
      <c r="Q136" s="6"/>
    </row>
    <row r="137" spans="2:17" ht="15.6" customHeight="1" x14ac:dyDescent="0.2">
      <c r="B137" s="4"/>
      <c r="C137" s="353" t="s">
        <v>318</v>
      </c>
      <c r="D137" s="354" t="s">
        <v>318</v>
      </c>
      <c r="E137" s="354" t="s">
        <v>318</v>
      </c>
      <c r="F137" s="355" t="s">
        <v>318</v>
      </c>
      <c r="G137" s="195">
        <v>6</v>
      </c>
      <c r="H137" s="195">
        <v>6</v>
      </c>
      <c r="I137" s="194">
        <v>0.25</v>
      </c>
      <c r="J137" s="194">
        <v>10</v>
      </c>
      <c r="K137" s="143"/>
      <c r="L137" s="143"/>
      <c r="M137" s="143"/>
      <c r="N137" s="143"/>
      <c r="O137" s="143"/>
      <c r="P137" s="143"/>
      <c r="Q137" s="6"/>
    </row>
    <row r="138" spans="2:17" ht="14.45" customHeight="1" x14ac:dyDescent="0.2">
      <c r="B138" s="4"/>
      <c r="C138" s="357" t="s">
        <v>319</v>
      </c>
      <c r="D138" s="358" t="s">
        <v>319</v>
      </c>
      <c r="E138" s="358" t="s">
        <v>319</v>
      </c>
      <c r="F138" s="359" t="s">
        <v>319</v>
      </c>
      <c r="G138" s="194">
        <v>1</v>
      </c>
      <c r="H138" s="194">
        <v>1</v>
      </c>
      <c r="I138" s="194">
        <v>0.25</v>
      </c>
      <c r="J138" s="194">
        <v>10</v>
      </c>
      <c r="K138" s="143"/>
      <c r="L138" s="143"/>
      <c r="M138" s="143"/>
      <c r="N138" s="143"/>
      <c r="O138" s="143"/>
      <c r="P138" s="143"/>
      <c r="Q138" s="6"/>
    </row>
    <row r="139" spans="2:17" ht="17.100000000000001" customHeight="1" x14ac:dyDescent="0.2">
      <c r="B139" s="4"/>
      <c r="C139" s="353" t="s">
        <v>320</v>
      </c>
      <c r="D139" s="354" t="s">
        <v>320</v>
      </c>
      <c r="E139" s="354" t="s">
        <v>320</v>
      </c>
      <c r="F139" s="355" t="s">
        <v>320</v>
      </c>
      <c r="G139" s="195">
        <v>6</v>
      </c>
      <c r="H139" s="195">
        <v>6</v>
      </c>
      <c r="I139" s="194">
        <v>0.25</v>
      </c>
      <c r="J139" s="194">
        <v>10</v>
      </c>
      <c r="K139" s="143"/>
      <c r="L139" s="143"/>
      <c r="M139" s="143"/>
      <c r="N139" s="143"/>
      <c r="O139" s="143"/>
      <c r="P139" s="143"/>
      <c r="Q139" s="6"/>
    </row>
    <row r="140" spans="2:17" ht="17.100000000000001" customHeight="1" x14ac:dyDescent="0.2">
      <c r="B140" s="4"/>
      <c r="C140" s="357" t="s">
        <v>321</v>
      </c>
      <c r="D140" s="358" t="s">
        <v>321</v>
      </c>
      <c r="E140" s="358" t="s">
        <v>321</v>
      </c>
      <c r="F140" s="359" t="s">
        <v>321</v>
      </c>
      <c r="G140" s="194">
        <v>1</v>
      </c>
      <c r="H140" s="194">
        <v>1</v>
      </c>
      <c r="I140" s="194">
        <v>0.25</v>
      </c>
      <c r="J140" s="194">
        <v>10</v>
      </c>
      <c r="K140" s="143"/>
      <c r="L140" s="143"/>
      <c r="M140" s="143"/>
      <c r="N140" s="143"/>
      <c r="O140" s="143"/>
      <c r="P140" s="143"/>
      <c r="Q140" s="6"/>
    </row>
    <row r="141" spans="2:17" ht="18.600000000000001" customHeight="1" x14ac:dyDescent="0.2">
      <c r="B141" s="4"/>
      <c r="C141" s="353" t="s">
        <v>322</v>
      </c>
      <c r="D141" s="354" t="s">
        <v>322</v>
      </c>
      <c r="E141" s="354" t="s">
        <v>322</v>
      </c>
      <c r="F141" s="355" t="s">
        <v>322</v>
      </c>
      <c r="G141" s="195">
        <v>6</v>
      </c>
      <c r="H141" s="195">
        <v>6</v>
      </c>
      <c r="I141" s="194">
        <v>0.25</v>
      </c>
      <c r="J141" s="194">
        <v>10</v>
      </c>
      <c r="K141" s="143"/>
      <c r="L141" s="143"/>
      <c r="M141" s="143"/>
      <c r="N141" s="143"/>
      <c r="O141" s="143"/>
      <c r="P141" s="143"/>
      <c r="Q141" s="6"/>
    </row>
    <row r="142" spans="2:17" ht="17.100000000000001" customHeight="1" x14ac:dyDescent="0.2">
      <c r="B142" s="4"/>
      <c r="C142" s="357" t="s">
        <v>323</v>
      </c>
      <c r="D142" s="358" t="s">
        <v>323</v>
      </c>
      <c r="E142" s="358" t="s">
        <v>323</v>
      </c>
      <c r="F142" s="359" t="s">
        <v>323</v>
      </c>
      <c r="G142" s="194">
        <v>2</v>
      </c>
      <c r="H142" s="194">
        <v>2</v>
      </c>
      <c r="I142" s="194">
        <v>0.25</v>
      </c>
      <c r="J142" s="194">
        <v>10</v>
      </c>
      <c r="K142" s="143"/>
      <c r="L142" s="143"/>
      <c r="M142" s="143"/>
      <c r="N142" s="143"/>
      <c r="O142" s="143"/>
      <c r="P142" s="143"/>
      <c r="Q142" s="6"/>
    </row>
    <row r="143" spans="2:17" ht="17.100000000000001" customHeight="1" x14ac:dyDescent="0.2">
      <c r="B143" s="4"/>
      <c r="C143" s="357" t="s">
        <v>324</v>
      </c>
      <c r="D143" s="358" t="s">
        <v>324</v>
      </c>
      <c r="E143" s="358" t="s">
        <v>324</v>
      </c>
      <c r="F143" s="359" t="s">
        <v>324</v>
      </c>
      <c r="G143" s="194">
        <v>1</v>
      </c>
      <c r="H143" s="194">
        <v>1</v>
      </c>
      <c r="I143" s="194">
        <v>0.25</v>
      </c>
      <c r="J143" s="194">
        <v>10</v>
      </c>
      <c r="K143" s="143"/>
      <c r="L143" s="143"/>
      <c r="M143" s="143"/>
      <c r="N143" s="143"/>
      <c r="O143" s="143"/>
      <c r="P143" s="143"/>
      <c r="Q143" s="6"/>
    </row>
    <row r="144" spans="2:17" ht="17.100000000000001" customHeight="1" x14ac:dyDescent="0.2">
      <c r="B144" s="4"/>
      <c r="C144" s="353" t="s">
        <v>325</v>
      </c>
      <c r="D144" s="354" t="s">
        <v>325</v>
      </c>
      <c r="E144" s="354" t="s">
        <v>325</v>
      </c>
      <c r="F144" s="355" t="s">
        <v>325</v>
      </c>
      <c r="G144" s="195">
        <v>6</v>
      </c>
      <c r="H144" s="195">
        <v>6</v>
      </c>
      <c r="I144" s="194">
        <v>0.25</v>
      </c>
      <c r="J144" s="194">
        <v>10</v>
      </c>
      <c r="K144" s="143"/>
      <c r="L144" s="143"/>
      <c r="M144" s="143"/>
      <c r="N144" s="143"/>
      <c r="O144" s="143"/>
      <c r="P144" s="143"/>
      <c r="Q144" s="6"/>
    </row>
    <row r="145" spans="2:17" ht="17.100000000000001" customHeight="1" x14ac:dyDescent="0.2">
      <c r="B145" s="4"/>
      <c r="C145" s="357" t="s">
        <v>326</v>
      </c>
      <c r="D145" s="358" t="s">
        <v>326</v>
      </c>
      <c r="E145" s="358" t="s">
        <v>326</v>
      </c>
      <c r="F145" s="359" t="s">
        <v>326</v>
      </c>
      <c r="G145" s="194">
        <v>2</v>
      </c>
      <c r="H145" s="194">
        <v>2</v>
      </c>
      <c r="I145" s="194">
        <v>0.25</v>
      </c>
      <c r="J145" s="194">
        <v>10</v>
      </c>
      <c r="K145" s="143"/>
      <c r="L145" s="143"/>
      <c r="M145" s="143"/>
      <c r="N145" s="143"/>
      <c r="O145" s="143"/>
      <c r="P145" s="143"/>
      <c r="Q145" s="6"/>
    </row>
    <row r="146" spans="2:17" ht="17.100000000000001" customHeight="1" x14ac:dyDescent="0.2">
      <c r="B146" s="4"/>
      <c r="C146" s="353" t="s">
        <v>327</v>
      </c>
      <c r="D146" s="354" t="s">
        <v>327</v>
      </c>
      <c r="E146" s="354" t="s">
        <v>327</v>
      </c>
      <c r="F146" s="355" t="s">
        <v>327</v>
      </c>
      <c r="G146" s="195">
        <v>6</v>
      </c>
      <c r="H146" s="195">
        <v>6</v>
      </c>
      <c r="I146" s="194">
        <v>0.25</v>
      </c>
      <c r="J146" s="194">
        <v>10</v>
      </c>
      <c r="K146" s="143"/>
      <c r="L146" s="143"/>
      <c r="M146" s="143"/>
      <c r="N146" s="143"/>
      <c r="O146" s="143"/>
      <c r="P146" s="143"/>
      <c r="Q146" s="6"/>
    </row>
    <row r="147" spans="2:17" ht="17.100000000000001" customHeight="1" x14ac:dyDescent="0.2">
      <c r="B147" s="4"/>
      <c r="C147" s="353" t="s">
        <v>328</v>
      </c>
      <c r="D147" s="354" t="s">
        <v>328</v>
      </c>
      <c r="E147" s="354" t="s">
        <v>328</v>
      </c>
      <c r="F147" s="355" t="s">
        <v>328</v>
      </c>
      <c r="G147" s="195">
        <v>6</v>
      </c>
      <c r="H147" s="195">
        <v>6</v>
      </c>
      <c r="I147" s="194">
        <v>0.25</v>
      </c>
      <c r="J147" s="194">
        <v>10</v>
      </c>
      <c r="K147" s="143"/>
      <c r="L147" s="143"/>
      <c r="M147" s="143"/>
      <c r="N147" s="143"/>
      <c r="O147" s="143"/>
      <c r="P147" s="143"/>
      <c r="Q147" s="6"/>
    </row>
    <row r="148" spans="2:17" ht="17.100000000000001" customHeight="1" x14ac:dyDescent="0.2">
      <c r="B148" s="4"/>
      <c r="C148" s="357" t="s">
        <v>329</v>
      </c>
      <c r="D148" s="358" t="s">
        <v>329</v>
      </c>
      <c r="E148" s="358" t="s">
        <v>329</v>
      </c>
      <c r="F148" s="359" t="s">
        <v>329</v>
      </c>
      <c r="G148" s="194">
        <v>1</v>
      </c>
      <c r="H148" s="194">
        <v>1</v>
      </c>
      <c r="I148" s="194">
        <v>0.25</v>
      </c>
      <c r="J148" s="194">
        <v>10</v>
      </c>
      <c r="K148" s="143"/>
      <c r="L148" s="143"/>
      <c r="M148" s="143"/>
      <c r="N148" s="143"/>
      <c r="O148" s="143"/>
      <c r="P148" s="143"/>
      <c r="Q148" s="6"/>
    </row>
    <row r="149" spans="2:17" ht="17.100000000000001" customHeight="1" x14ac:dyDescent="0.2">
      <c r="B149" s="4"/>
      <c r="C149" s="353" t="s">
        <v>330</v>
      </c>
      <c r="D149" s="354" t="s">
        <v>330</v>
      </c>
      <c r="E149" s="354" t="s">
        <v>330</v>
      </c>
      <c r="F149" s="355" t="s">
        <v>330</v>
      </c>
      <c r="G149" s="195">
        <v>6</v>
      </c>
      <c r="H149" s="195">
        <v>6</v>
      </c>
      <c r="I149" s="194">
        <v>0.25</v>
      </c>
      <c r="J149" s="194">
        <v>10</v>
      </c>
      <c r="K149" s="143"/>
      <c r="L149" s="143"/>
      <c r="M149" s="143"/>
      <c r="N149" s="143"/>
      <c r="O149" s="143"/>
      <c r="P149" s="143"/>
      <c r="Q149" s="6"/>
    </row>
    <row r="150" spans="2:17" ht="17.100000000000001" customHeight="1" x14ac:dyDescent="0.2">
      <c r="B150" s="4"/>
      <c r="C150" s="353" t="s">
        <v>331</v>
      </c>
      <c r="D150" s="354" t="s">
        <v>331</v>
      </c>
      <c r="E150" s="354" t="s">
        <v>331</v>
      </c>
      <c r="F150" s="355" t="s">
        <v>331</v>
      </c>
      <c r="G150" s="195">
        <v>6</v>
      </c>
      <c r="H150" s="195">
        <v>6</v>
      </c>
      <c r="I150" s="194">
        <v>0.25</v>
      </c>
      <c r="J150" s="194">
        <v>10</v>
      </c>
      <c r="K150" s="143"/>
      <c r="L150" s="143"/>
      <c r="M150" s="143"/>
      <c r="N150" s="143"/>
      <c r="O150" s="143"/>
      <c r="P150" s="143"/>
      <c r="Q150" s="6"/>
    </row>
    <row r="151" spans="2:17" ht="17.100000000000001" customHeight="1" x14ac:dyDescent="0.2">
      <c r="B151" s="4"/>
      <c r="C151" s="353" t="s">
        <v>332</v>
      </c>
      <c r="D151" s="354" t="s">
        <v>332</v>
      </c>
      <c r="E151" s="354" t="s">
        <v>332</v>
      </c>
      <c r="F151" s="355" t="s">
        <v>332</v>
      </c>
      <c r="G151" s="195">
        <v>6</v>
      </c>
      <c r="H151" s="195">
        <v>6</v>
      </c>
      <c r="I151" s="194">
        <v>0.25</v>
      </c>
      <c r="J151" s="194">
        <v>10</v>
      </c>
      <c r="K151" s="143"/>
      <c r="L151" s="143"/>
      <c r="M151" s="143"/>
      <c r="N151" s="143"/>
      <c r="O151" s="143"/>
      <c r="P151" s="143"/>
      <c r="Q151" s="6"/>
    </row>
    <row r="152" spans="2:17" ht="17.100000000000001" customHeight="1" x14ac:dyDescent="0.2">
      <c r="B152" s="4"/>
      <c r="C152" s="353" t="s">
        <v>333</v>
      </c>
      <c r="D152" s="354" t="s">
        <v>333</v>
      </c>
      <c r="E152" s="354" t="s">
        <v>333</v>
      </c>
      <c r="F152" s="355" t="s">
        <v>333</v>
      </c>
      <c r="G152" s="195">
        <v>6</v>
      </c>
      <c r="H152" s="195">
        <v>6</v>
      </c>
      <c r="I152" s="194">
        <v>0.25</v>
      </c>
      <c r="J152" s="194">
        <v>10</v>
      </c>
      <c r="K152" s="143"/>
      <c r="L152" s="143"/>
      <c r="M152" s="143"/>
      <c r="N152" s="143"/>
      <c r="O152" s="143"/>
      <c r="P152" s="143"/>
      <c r="Q152" s="6"/>
    </row>
    <row r="153" spans="2:17" ht="17.100000000000001" customHeight="1" x14ac:dyDescent="0.2">
      <c r="B153" s="4"/>
      <c r="C153" s="353" t="s">
        <v>334</v>
      </c>
      <c r="D153" s="354" t="s">
        <v>334</v>
      </c>
      <c r="E153" s="354" t="s">
        <v>334</v>
      </c>
      <c r="F153" s="355" t="s">
        <v>334</v>
      </c>
      <c r="G153" s="195">
        <v>6</v>
      </c>
      <c r="H153" s="195">
        <v>6</v>
      </c>
      <c r="I153" s="194">
        <v>0.25</v>
      </c>
      <c r="J153" s="194">
        <v>10</v>
      </c>
      <c r="K153" s="143"/>
      <c r="L153" s="143"/>
      <c r="M153" s="143"/>
      <c r="N153" s="143"/>
      <c r="O153" s="143"/>
      <c r="P153" s="143"/>
      <c r="Q153" s="6"/>
    </row>
    <row r="154" spans="2:17" ht="17.100000000000001" customHeight="1" x14ac:dyDescent="0.2">
      <c r="B154" s="4"/>
      <c r="C154" s="353" t="s">
        <v>335</v>
      </c>
      <c r="D154" s="354" t="s">
        <v>335</v>
      </c>
      <c r="E154" s="354" t="s">
        <v>335</v>
      </c>
      <c r="F154" s="355" t="s">
        <v>335</v>
      </c>
      <c r="G154" s="195">
        <v>6</v>
      </c>
      <c r="H154" s="195">
        <v>6</v>
      </c>
      <c r="I154" s="194">
        <v>0.25</v>
      </c>
      <c r="J154" s="194">
        <v>10</v>
      </c>
      <c r="K154" s="143"/>
      <c r="L154" s="143"/>
      <c r="M154" s="143"/>
      <c r="N154" s="143"/>
      <c r="O154" s="143"/>
      <c r="P154" s="143"/>
      <c r="Q154" s="6"/>
    </row>
    <row r="155" spans="2:17" ht="17.100000000000001" customHeight="1" x14ac:dyDescent="0.2">
      <c r="B155" s="4"/>
      <c r="C155" s="357" t="s">
        <v>336</v>
      </c>
      <c r="D155" s="358" t="s">
        <v>336</v>
      </c>
      <c r="E155" s="358" t="s">
        <v>336</v>
      </c>
      <c r="F155" s="359" t="s">
        <v>336</v>
      </c>
      <c r="G155" s="194">
        <v>3</v>
      </c>
      <c r="H155" s="194">
        <v>0.5</v>
      </c>
      <c r="I155" s="194">
        <v>0.25</v>
      </c>
      <c r="J155" s="194">
        <v>10</v>
      </c>
      <c r="K155" s="143"/>
      <c r="L155" s="143"/>
      <c r="M155" s="143"/>
      <c r="N155" s="143"/>
      <c r="O155" s="143"/>
      <c r="P155" s="143"/>
      <c r="Q155" s="6"/>
    </row>
    <row r="156" spans="2:17" ht="17.100000000000001" customHeight="1" x14ac:dyDescent="0.2">
      <c r="B156" s="4"/>
      <c r="C156" s="353" t="s">
        <v>337</v>
      </c>
      <c r="D156" s="354" t="s">
        <v>337</v>
      </c>
      <c r="E156" s="354" t="s">
        <v>337</v>
      </c>
      <c r="F156" s="355" t="s">
        <v>337</v>
      </c>
      <c r="G156" s="195">
        <v>6</v>
      </c>
      <c r="H156" s="195">
        <v>6</v>
      </c>
      <c r="I156" s="194">
        <v>0.25</v>
      </c>
      <c r="J156" s="194">
        <v>10</v>
      </c>
      <c r="K156" s="143"/>
      <c r="L156" s="143"/>
      <c r="M156" s="143"/>
      <c r="N156" s="143"/>
      <c r="O156" s="143"/>
      <c r="P156" s="143"/>
      <c r="Q156" s="6"/>
    </row>
    <row r="157" spans="2:17" ht="17.100000000000001" customHeight="1" x14ac:dyDescent="0.2">
      <c r="B157" s="4"/>
      <c r="C157" s="353" t="s">
        <v>338</v>
      </c>
      <c r="D157" s="354" t="s">
        <v>338</v>
      </c>
      <c r="E157" s="354" t="s">
        <v>338</v>
      </c>
      <c r="F157" s="355" t="s">
        <v>338</v>
      </c>
      <c r="G157" s="195">
        <v>6</v>
      </c>
      <c r="H157" s="195">
        <v>6</v>
      </c>
      <c r="I157" s="194">
        <v>0.25</v>
      </c>
      <c r="J157" s="194">
        <v>10</v>
      </c>
      <c r="K157" s="143"/>
      <c r="L157" s="143"/>
      <c r="M157" s="143"/>
      <c r="N157" s="143"/>
      <c r="O157" s="143"/>
      <c r="P157" s="143"/>
      <c r="Q157" s="6"/>
    </row>
    <row r="158" spans="2:17" ht="20.100000000000001" customHeight="1" x14ac:dyDescent="0.2">
      <c r="B158" s="4"/>
      <c r="C158" s="357" t="s">
        <v>339</v>
      </c>
      <c r="D158" s="358" t="s">
        <v>339</v>
      </c>
      <c r="E158" s="358" t="s">
        <v>339</v>
      </c>
      <c r="F158" s="359" t="s">
        <v>339</v>
      </c>
      <c r="G158" s="194">
        <v>1</v>
      </c>
      <c r="H158" s="194">
        <v>1</v>
      </c>
      <c r="I158" s="194">
        <v>0.25</v>
      </c>
      <c r="J158" s="194">
        <v>10</v>
      </c>
      <c r="K158" s="143"/>
      <c r="L158" s="143"/>
      <c r="M158" s="143"/>
      <c r="N158" s="143"/>
      <c r="O158" s="143"/>
      <c r="P158" s="143"/>
      <c r="Q158" s="6"/>
    </row>
    <row r="159" spans="2:17" ht="20.45" customHeight="1" x14ac:dyDescent="0.2">
      <c r="B159" s="4"/>
      <c r="C159" s="353" t="s">
        <v>340</v>
      </c>
      <c r="D159" s="354" t="s">
        <v>340</v>
      </c>
      <c r="E159" s="354" t="s">
        <v>340</v>
      </c>
      <c r="F159" s="355" t="s">
        <v>340</v>
      </c>
      <c r="G159" s="195">
        <v>6</v>
      </c>
      <c r="H159" s="195">
        <v>6</v>
      </c>
      <c r="I159" s="194">
        <v>0.25</v>
      </c>
      <c r="J159" s="194">
        <v>10</v>
      </c>
      <c r="K159" s="143"/>
      <c r="L159" s="143"/>
      <c r="M159" s="143"/>
      <c r="N159" s="143"/>
      <c r="O159" s="143"/>
      <c r="P159" s="143"/>
      <c r="Q159" s="6"/>
    </row>
    <row r="160" spans="2:17" ht="15.95" customHeight="1" x14ac:dyDescent="0.2">
      <c r="B160" s="4"/>
      <c r="C160" s="353" t="s">
        <v>341</v>
      </c>
      <c r="D160" s="354" t="s">
        <v>341</v>
      </c>
      <c r="E160" s="354" t="s">
        <v>341</v>
      </c>
      <c r="F160" s="355" t="s">
        <v>341</v>
      </c>
      <c r="G160" s="195">
        <v>6</v>
      </c>
      <c r="H160" s="195">
        <v>6</v>
      </c>
      <c r="I160" s="194">
        <v>0.25</v>
      </c>
      <c r="J160" s="194">
        <v>10</v>
      </c>
      <c r="K160" s="143"/>
      <c r="L160" s="143"/>
      <c r="M160" s="143"/>
      <c r="N160" s="143"/>
      <c r="O160" s="143"/>
      <c r="P160" s="143"/>
      <c r="Q160" s="6"/>
    </row>
    <row r="161" spans="2:17" ht="17.45" customHeight="1" x14ac:dyDescent="0.2">
      <c r="B161" s="4"/>
      <c r="C161" s="353" t="s">
        <v>342</v>
      </c>
      <c r="D161" s="354" t="s">
        <v>342</v>
      </c>
      <c r="E161" s="354" t="s">
        <v>342</v>
      </c>
      <c r="F161" s="355" t="s">
        <v>342</v>
      </c>
      <c r="G161" s="195">
        <v>6</v>
      </c>
      <c r="H161" s="195">
        <v>6</v>
      </c>
      <c r="I161" s="194">
        <v>0.25</v>
      </c>
      <c r="J161" s="194">
        <v>10</v>
      </c>
      <c r="K161" s="143"/>
      <c r="L161" s="143"/>
      <c r="M161" s="143"/>
      <c r="N161" s="143"/>
      <c r="O161" s="143"/>
      <c r="P161" s="143"/>
      <c r="Q161" s="6"/>
    </row>
    <row r="162" spans="2:17" ht="18.600000000000001" customHeight="1" x14ac:dyDescent="0.2">
      <c r="B162" s="4"/>
      <c r="C162" s="353" t="s">
        <v>343</v>
      </c>
      <c r="D162" s="354" t="s">
        <v>343</v>
      </c>
      <c r="E162" s="354" t="s">
        <v>343</v>
      </c>
      <c r="F162" s="355" t="s">
        <v>343</v>
      </c>
      <c r="G162" s="195">
        <v>6</v>
      </c>
      <c r="H162" s="195">
        <v>6</v>
      </c>
      <c r="I162" s="194">
        <v>0.25</v>
      </c>
      <c r="J162" s="194">
        <v>10</v>
      </c>
      <c r="K162" s="143"/>
      <c r="L162" s="143"/>
      <c r="M162" s="143"/>
      <c r="N162" s="143"/>
      <c r="O162" s="143"/>
      <c r="P162" s="143"/>
      <c r="Q162" s="6"/>
    </row>
    <row r="163" spans="2:17" ht="30.95" customHeight="1" x14ac:dyDescent="0.2">
      <c r="B163" s="4"/>
      <c r="C163" s="357" t="s">
        <v>344</v>
      </c>
      <c r="D163" s="358" t="s">
        <v>344</v>
      </c>
      <c r="E163" s="358" t="s">
        <v>344</v>
      </c>
      <c r="F163" s="359" t="s">
        <v>344</v>
      </c>
      <c r="G163" s="194">
        <v>2</v>
      </c>
      <c r="H163" s="194">
        <v>2</v>
      </c>
      <c r="I163" s="194">
        <v>0.25</v>
      </c>
      <c r="J163" s="194">
        <v>10</v>
      </c>
      <c r="K163" s="143"/>
      <c r="L163" s="143"/>
      <c r="M163" s="143"/>
      <c r="N163" s="143"/>
      <c r="O163" s="143"/>
      <c r="P163" s="143"/>
      <c r="Q163" s="6"/>
    </row>
    <row r="164" spans="2:17" ht="17.100000000000001" customHeight="1" x14ac:dyDescent="0.2">
      <c r="B164" s="4"/>
      <c r="C164" s="377" t="s">
        <v>345</v>
      </c>
      <c r="D164" s="377" t="s">
        <v>345</v>
      </c>
      <c r="E164" s="377" t="s">
        <v>345</v>
      </c>
      <c r="F164" s="377" t="s">
        <v>345</v>
      </c>
      <c r="G164" s="195">
        <v>6</v>
      </c>
      <c r="H164" s="195">
        <v>6</v>
      </c>
      <c r="I164" s="194">
        <v>0.25</v>
      </c>
      <c r="J164" s="194">
        <v>10</v>
      </c>
      <c r="K164" s="143"/>
      <c r="L164" s="143"/>
      <c r="M164" s="143"/>
      <c r="N164" s="143"/>
      <c r="O164" s="143"/>
      <c r="P164" s="143"/>
      <c r="Q164" s="6"/>
    </row>
    <row r="165" spans="2:17" ht="17.100000000000001" customHeight="1" x14ac:dyDescent="0.2">
      <c r="B165" s="4"/>
      <c r="C165" s="378" t="s">
        <v>346</v>
      </c>
      <c r="D165" s="378" t="s">
        <v>346</v>
      </c>
      <c r="E165" s="378" t="s">
        <v>346</v>
      </c>
      <c r="F165" s="378" t="s">
        <v>346</v>
      </c>
      <c r="G165" s="194">
        <v>5</v>
      </c>
      <c r="H165" s="194">
        <v>0.4</v>
      </c>
      <c r="I165" s="194">
        <v>0.25</v>
      </c>
      <c r="J165" s="194">
        <v>10</v>
      </c>
      <c r="K165" s="143"/>
      <c r="L165" s="143"/>
      <c r="M165" s="143"/>
      <c r="N165" s="143"/>
      <c r="O165" s="143"/>
      <c r="P165" s="143"/>
      <c r="Q165" s="6"/>
    </row>
    <row r="166" spans="2:17" ht="18.600000000000001" customHeight="1" x14ac:dyDescent="0.2">
      <c r="B166" s="4"/>
      <c r="C166" s="377" t="s">
        <v>347</v>
      </c>
      <c r="D166" s="377" t="s">
        <v>347</v>
      </c>
      <c r="E166" s="377" t="s">
        <v>347</v>
      </c>
      <c r="F166" s="377" t="s">
        <v>347</v>
      </c>
      <c r="G166" s="195">
        <v>6</v>
      </c>
      <c r="H166" s="195">
        <v>6</v>
      </c>
      <c r="I166" s="194">
        <v>0.25</v>
      </c>
      <c r="J166" s="194">
        <v>10</v>
      </c>
      <c r="K166" s="143"/>
      <c r="L166" s="143"/>
      <c r="M166" s="143"/>
      <c r="N166" s="143"/>
      <c r="O166" s="143"/>
      <c r="P166" s="143"/>
      <c r="Q166" s="6"/>
    </row>
    <row r="167" spans="2:17" ht="18.600000000000001" customHeight="1" x14ac:dyDescent="0.2">
      <c r="B167" s="4"/>
      <c r="C167" s="377" t="s">
        <v>348</v>
      </c>
      <c r="D167" s="377" t="s">
        <v>348</v>
      </c>
      <c r="E167" s="377" t="s">
        <v>348</v>
      </c>
      <c r="F167" s="377" t="s">
        <v>348</v>
      </c>
      <c r="G167" s="195">
        <v>6</v>
      </c>
      <c r="H167" s="195">
        <v>6</v>
      </c>
      <c r="I167" s="194">
        <v>0.25</v>
      </c>
      <c r="J167" s="194">
        <v>10</v>
      </c>
      <c r="K167" s="143"/>
      <c r="L167" s="143"/>
      <c r="M167" s="143"/>
      <c r="N167" s="143"/>
      <c r="O167" s="143"/>
      <c r="P167" s="143"/>
      <c r="Q167" s="6"/>
    </row>
    <row r="168" spans="2:17" ht="18.600000000000001" customHeight="1" x14ac:dyDescent="0.2">
      <c r="B168" s="4"/>
      <c r="C168" s="353" t="s">
        <v>349</v>
      </c>
      <c r="D168" s="354" t="s">
        <v>349</v>
      </c>
      <c r="E168" s="354" t="s">
        <v>349</v>
      </c>
      <c r="F168" s="355" t="s">
        <v>349</v>
      </c>
      <c r="G168" s="195">
        <v>6</v>
      </c>
      <c r="H168" s="195">
        <v>6</v>
      </c>
      <c r="I168" s="194">
        <v>0.25</v>
      </c>
      <c r="J168" s="194">
        <v>10</v>
      </c>
      <c r="K168" s="143"/>
      <c r="L168" s="143"/>
      <c r="M168" s="143"/>
      <c r="N168" s="143"/>
      <c r="O168" s="143"/>
      <c r="P168" s="143"/>
      <c r="Q168" s="6"/>
    </row>
    <row r="169" spans="2:17" ht="18.600000000000001" customHeight="1" x14ac:dyDescent="0.2">
      <c r="B169" s="4"/>
      <c r="C169" s="353" t="s">
        <v>350</v>
      </c>
      <c r="D169" s="354" t="s">
        <v>350</v>
      </c>
      <c r="E169" s="354" t="s">
        <v>350</v>
      </c>
      <c r="F169" s="355" t="s">
        <v>350</v>
      </c>
      <c r="G169" s="195">
        <v>6</v>
      </c>
      <c r="H169" s="195">
        <v>6</v>
      </c>
      <c r="I169" s="194">
        <v>0.25</v>
      </c>
      <c r="J169" s="194">
        <v>10</v>
      </c>
      <c r="K169" s="143"/>
      <c r="L169" s="143"/>
      <c r="M169" s="143"/>
      <c r="N169" s="143"/>
      <c r="O169" s="143"/>
      <c r="P169" s="143"/>
      <c r="Q169" s="6"/>
    </row>
    <row r="170" spans="2:17" ht="18.600000000000001" customHeight="1" x14ac:dyDescent="0.2">
      <c r="B170" s="4"/>
      <c r="C170" s="353" t="s">
        <v>351</v>
      </c>
      <c r="D170" s="354" t="s">
        <v>351</v>
      </c>
      <c r="E170" s="354" t="s">
        <v>351</v>
      </c>
      <c r="F170" s="355" t="s">
        <v>351</v>
      </c>
      <c r="G170" s="195">
        <v>6</v>
      </c>
      <c r="H170" s="195">
        <v>6</v>
      </c>
      <c r="I170" s="194">
        <v>0.25</v>
      </c>
      <c r="J170" s="194">
        <v>10</v>
      </c>
      <c r="K170" s="143"/>
      <c r="L170" s="143"/>
      <c r="M170" s="143"/>
      <c r="N170" s="143"/>
      <c r="O170" s="143"/>
      <c r="P170" s="143"/>
      <c r="Q170" s="6"/>
    </row>
    <row r="171" spans="2:17" ht="18.600000000000001" customHeight="1" x14ac:dyDescent="0.2">
      <c r="B171" s="4"/>
      <c r="C171" s="353" t="s">
        <v>352</v>
      </c>
      <c r="D171" s="354" t="s">
        <v>352</v>
      </c>
      <c r="E171" s="354" t="s">
        <v>352</v>
      </c>
      <c r="F171" s="355" t="s">
        <v>352</v>
      </c>
      <c r="G171" s="195">
        <v>6</v>
      </c>
      <c r="H171" s="195">
        <v>6</v>
      </c>
      <c r="I171" s="194">
        <v>0.25</v>
      </c>
      <c r="J171" s="194">
        <v>10</v>
      </c>
      <c r="K171" s="143"/>
      <c r="L171" s="143"/>
      <c r="M171" s="143"/>
      <c r="N171" s="143"/>
      <c r="O171" s="143"/>
      <c r="P171" s="143"/>
      <c r="Q171" s="6"/>
    </row>
    <row r="172" spans="2:17" ht="29.1" customHeight="1" x14ac:dyDescent="0.2">
      <c r="B172" s="4"/>
      <c r="C172" s="378" t="s">
        <v>353</v>
      </c>
      <c r="D172" s="378" t="s">
        <v>353</v>
      </c>
      <c r="E172" s="378" t="s">
        <v>353</v>
      </c>
      <c r="F172" s="378" t="s">
        <v>353</v>
      </c>
      <c r="G172" s="194">
        <v>1</v>
      </c>
      <c r="H172" s="194">
        <v>1</v>
      </c>
      <c r="I172" s="194">
        <v>0.25</v>
      </c>
      <c r="J172" s="194">
        <v>10</v>
      </c>
      <c r="K172" s="143"/>
      <c r="L172" s="143"/>
      <c r="M172" s="143"/>
      <c r="N172" s="143"/>
      <c r="O172" s="143"/>
      <c r="P172" s="143"/>
      <c r="Q172" s="6"/>
    </row>
    <row r="173" spans="2:17" ht="20.45" customHeight="1" x14ac:dyDescent="0.2">
      <c r="B173" s="4"/>
      <c r="C173" s="360" t="s">
        <v>354</v>
      </c>
      <c r="D173" s="360" t="s">
        <v>354</v>
      </c>
      <c r="E173" s="360" t="s">
        <v>354</v>
      </c>
      <c r="F173" s="360" t="s">
        <v>354</v>
      </c>
      <c r="G173" s="348">
        <v>0.5</v>
      </c>
      <c r="H173" s="348">
        <v>0.5</v>
      </c>
      <c r="I173" s="194">
        <v>0.25</v>
      </c>
      <c r="J173" s="194">
        <v>10</v>
      </c>
      <c r="K173" s="143"/>
      <c r="L173" s="143"/>
      <c r="M173" s="143"/>
      <c r="N173" s="143"/>
      <c r="O173" s="143"/>
      <c r="P173" s="143"/>
      <c r="Q173" s="6"/>
    </row>
    <row r="174" spans="2:17" ht="18.95" customHeight="1" x14ac:dyDescent="0.2">
      <c r="B174" s="4"/>
      <c r="C174" s="394"/>
      <c r="D174" s="394"/>
      <c r="E174" s="394"/>
      <c r="F174" s="394"/>
      <c r="G174" s="394"/>
      <c r="H174" s="394"/>
      <c r="I174" s="143"/>
      <c r="J174" s="143"/>
      <c r="K174" s="143"/>
      <c r="L174" s="143"/>
      <c r="M174" s="143"/>
      <c r="N174" s="143"/>
      <c r="O174" s="143"/>
      <c r="P174" s="143"/>
      <c r="Q174" s="6"/>
    </row>
    <row r="175" spans="2:17" ht="16.5" customHeight="1" x14ac:dyDescent="0.2">
      <c r="B175" s="4"/>
      <c r="C175" s="395" t="s">
        <v>125</v>
      </c>
      <c r="D175" s="395"/>
      <c r="E175" s="395"/>
      <c r="F175" s="196"/>
      <c r="G175" s="196"/>
      <c r="H175" s="196"/>
      <c r="I175" s="196"/>
      <c r="J175" s="196"/>
      <c r="K175" s="196"/>
      <c r="L175" s="196"/>
      <c r="M175" s="196"/>
      <c r="N175" s="196"/>
      <c r="O175" s="196"/>
      <c r="P175" s="196"/>
      <c r="Q175" s="6"/>
    </row>
    <row r="176" spans="2:17" ht="56.1" customHeight="1" x14ac:dyDescent="0.2">
      <c r="B176" s="4"/>
      <c r="C176" s="376" t="s">
        <v>587</v>
      </c>
      <c r="D176" s="376"/>
      <c r="E176" s="376"/>
      <c r="F176" s="376"/>
      <c r="G176" s="376"/>
      <c r="H176" s="376"/>
      <c r="I176" s="376"/>
      <c r="J176" s="376"/>
      <c r="K176" s="376"/>
      <c r="L176" s="376"/>
      <c r="M176" s="376"/>
      <c r="N176" s="376"/>
      <c r="O176" s="376"/>
      <c r="P176" s="376"/>
      <c r="Q176" s="6"/>
    </row>
    <row r="177" spans="2:18" ht="18" customHeight="1" x14ac:dyDescent="0.2">
      <c r="B177" s="4"/>
      <c r="C177" s="396" t="s">
        <v>588</v>
      </c>
      <c r="D177" s="396"/>
      <c r="E177" s="396"/>
      <c r="F177" s="396"/>
      <c r="G177" s="396"/>
      <c r="H177" s="396"/>
      <c r="I177" s="396"/>
      <c r="J177" s="396"/>
      <c r="K177" s="396"/>
      <c r="L177" s="396"/>
      <c r="M177" s="396"/>
      <c r="N177" s="396"/>
      <c r="O177" s="396"/>
      <c r="P177" s="396"/>
      <c r="Q177" s="6"/>
    </row>
    <row r="178" spans="2:18" ht="18" customHeight="1" x14ac:dyDescent="0.2">
      <c r="B178" s="4"/>
      <c r="C178" s="397" t="s">
        <v>590</v>
      </c>
      <c r="D178" s="397"/>
      <c r="E178" s="397"/>
      <c r="F178" s="397"/>
      <c r="G178" s="397"/>
      <c r="H178" s="397"/>
      <c r="I178" s="397"/>
      <c r="J178" s="397"/>
      <c r="K178" s="397"/>
      <c r="L178" s="397"/>
      <c r="M178" s="397"/>
      <c r="N178" s="397"/>
      <c r="O178" s="397"/>
      <c r="P178" s="397"/>
      <c r="Q178" s="6"/>
    </row>
    <row r="179" spans="2:18" ht="18" customHeight="1" x14ac:dyDescent="0.2">
      <c r="B179" s="4"/>
      <c r="C179" s="397" t="s">
        <v>589</v>
      </c>
      <c r="D179" s="397"/>
      <c r="E179" s="397"/>
      <c r="F179" s="397"/>
      <c r="G179" s="397"/>
      <c r="H179" s="397"/>
      <c r="I179" s="397"/>
      <c r="J179" s="397"/>
      <c r="K179" s="397"/>
      <c r="L179" s="397"/>
      <c r="M179" s="397"/>
      <c r="N179" s="397"/>
      <c r="O179" s="397"/>
      <c r="P179" s="397"/>
      <c r="Q179" s="6"/>
    </row>
    <row r="180" spans="2:18" ht="18" customHeight="1" x14ac:dyDescent="0.2">
      <c r="B180" s="4"/>
      <c r="C180" s="397" t="s">
        <v>591</v>
      </c>
      <c r="D180" s="397"/>
      <c r="E180" s="397"/>
      <c r="F180" s="397"/>
      <c r="G180" s="397"/>
      <c r="H180" s="397"/>
      <c r="I180" s="397"/>
      <c r="J180" s="397"/>
      <c r="K180" s="397"/>
      <c r="L180" s="397"/>
      <c r="M180" s="397"/>
      <c r="N180" s="397"/>
      <c r="O180" s="397"/>
      <c r="P180" s="397"/>
      <c r="Q180" s="6"/>
    </row>
    <row r="181" spans="2:18" ht="21" customHeight="1" x14ac:dyDescent="0.2">
      <c r="B181" s="4"/>
      <c r="C181" s="356" t="s">
        <v>138</v>
      </c>
      <c r="D181" s="356"/>
      <c r="E181" s="356"/>
      <c r="F181" s="356"/>
      <c r="G181" s="356"/>
      <c r="H181" s="356"/>
      <c r="I181" s="356"/>
      <c r="J181" s="356"/>
      <c r="K181" s="356"/>
      <c r="L181" s="356"/>
      <c r="M181" s="356"/>
      <c r="N181" s="356"/>
      <c r="O181" s="356"/>
      <c r="P181" s="356"/>
      <c r="Q181" s="6"/>
    </row>
    <row r="182" spans="2:18" ht="8.1" customHeight="1" x14ac:dyDescent="0.2">
      <c r="B182" s="4"/>
      <c r="C182" s="197"/>
      <c r="D182" s="197"/>
      <c r="E182" s="197"/>
      <c r="F182" s="197"/>
      <c r="G182" s="197"/>
      <c r="H182" s="197"/>
      <c r="I182" s="197"/>
      <c r="J182" s="197"/>
      <c r="K182" s="197"/>
      <c r="L182" s="197"/>
      <c r="M182" s="197"/>
      <c r="N182" s="197"/>
      <c r="O182" s="197"/>
      <c r="P182" s="197"/>
      <c r="Q182" s="6"/>
    </row>
    <row r="183" spans="2:18" ht="27.95" customHeight="1" x14ac:dyDescent="0.2">
      <c r="B183" s="4"/>
      <c r="C183" s="380" t="s">
        <v>78</v>
      </c>
      <c r="D183" s="380"/>
      <c r="E183" s="380"/>
      <c r="F183" s="380"/>
      <c r="G183" s="380"/>
      <c r="H183" s="407"/>
      <c r="I183" s="379" t="s">
        <v>356</v>
      </c>
      <c r="J183" s="380"/>
      <c r="K183" s="380"/>
      <c r="L183" s="380"/>
      <c r="M183" s="380"/>
      <c r="N183" s="379" t="s">
        <v>355</v>
      </c>
      <c r="O183" s="380"/>
      <c r="P183" s="380"/>
      <c r="Q183" s="6"/>
    </row>
    <row r="184" spans="2:18" ht="14.1" customHeight="1" x14ac:dyDescent="0.2">
      <c r="B184" s="4"/>
      <c r="C184" s="143" t="s">
        <v>94</v>
      </c>
      <c r="D184" s="143" t="s">
        <v>95</v>
      </c>
      <c r="E184" s="392" t="s">
        <v>96</v>
      </c>
      <c r="F184" s="392"/>
      <c r="G184" s="392"/>
      <c r="H184" s="393"/>
      <c r="I184" s="143" t="s">
        <v>94</v>
      </c>
      <c r="J184" s="143" t="s">
        <v>95</v>
      </c>
      <c r="K184" s="392" t="s">
        <v>96</v>
      </c>
      <c r="L184" s="392"/>
      <c r="M184" s="393"/>
      <c r="N184" s="143" t="s">
        <v>357</v>
      </c>
      <c r="O184" s="143" t="s">
        <v>95</v>
      </c>
      <c r="P184" s="143" t="s">
        <v>96</v>
      </c>
      <c r="Q184" s="6"/>
    </row>
    <row r="185" spans="2:18" ht="12.95" customHeight="1" x14ac:dyDescent="0.2">
      <c r="B185" s="4"/>
      <c r="C185" s="198"/>
      <c r="D185" s="145">
        <v>3</v>
      </c>
      <c r="E185" s="356" t="s">
        <v>99</v>
      </c>
      <c r="F185" s="356"/>
      <c r="G185" s="356"/>
      <c r="H185" s="386"/>
      <c r="I185" s="199"/>
      <c r="J185" s="145">
        <v>1</v>
      </c>
      <c r="K185" s="387" t="s">
        <v>97</v>
      </c>
      <c r="L185" s="387"/>
      <c r="M185" s="388"/>
      <c r="N185" s="200"/>
      <c r="O185" s="145">
        <v>17</v>
      </c>
      <c r="P185" s="143" t="s">
        <v>113</v>
      </c>
      <c r="Q185" s="71"/>
      <c r="R185" s="69"/>
    </row>
    <row r="186" spans="2:18" ht="14.45" customHeight="1" x14ac:dyDescent="0.2">
      <c r="B186" s="4"/>
      <c r="C186" s="201"/>
      <c r="D186" s="145">
        <v>4</v>
      </c>
      <c r="E186" s="356" t="s">
        <v>100</v>
      </c>
      <c r="F186" s="356"/>
      <c r="G186" s="356"/>
      <c r="H186" s="386"/>
      <c r="I186" s="202"/>
      <c r="J186" s="145">
        <v>2</v>
      </c>
      <c r="K186" s="387" t="s">
        <v>98</v>
      </c>
      <c r="L186" s="387"/>
      <c r="M186" s="388"/>
      <c r="N186" s="203"/>
      <c r="O186" s="145">
        <v>18</v>
      </c>
      <c r="P186" s="143" t="s">
        <v>114</v>
      </c>
      <c r="Q186" s="71"/>
      <c r="R186" s="69"/>
    </row>
    <row r="187" spans="2:18" ht="15.6" customHeight="1" x14ac:dyDescent="0.2">
      <c r="B187" s="4"/>
      <c r="C187" s="204"/>
      <c r="D187" s="145">
        <v>5</v>
      </c>
      <c r="E187" s="356" t="s">
        <v>101</v>
      </c>
      <c r="F187" s="356"/>
      <c r="G187" s="356"/>
      <c r="H187" s="386"/>
      <c r="I187" s="205"/>
      <c r="J187" s="145">
        <v>8</v>
      </c>
      <c r="K187" s="387" t="s">
        <v>104</v>
      </c>
      <c r="L187" s="387"/>
      <c r="M187" s="388"/>
      <c r="N187" s="206"/>
      <c r="O187" s="145">
        <v>19</v>
      </c>
      <c r="P187" s="143" t="s">
        <v>115</v>
      </c>
      <c r="Q187" s="71"/>
      <c r="R187" s="69"/>
    </row>
    <row r="188" spans="2:18" ht="15.6" customHeight="1" x14ac:dyDescent="0.2">
      <c r="B188" s="4"/>
      <c r="C188" s="207"/>
      <c r="D188" s="145">
        <v>6</v>
      </c>
      <c r="E188" s="356" t="s">
        <v>102</v>
      </c>
      <c r="F188" s="356"/>
      <c r="G188" s="356"/>
      <c r="H188" s="386"/>
      <c r="I188" s="208"/>
      <c r="J188" s="145">
        <v>9</v>
      </c>
      <c r="K188" s="387" t="s">
        <v>105</v>
      </c>
      <c r="L188" s="387"/>
      <c r="M188" s="388"/>
      <c r="N188" s="68"/>
      <c r="O188" s="68"/>
      <c r="P188" s="68"/>
      <c r="Q188" s="6"/>
    </row>
    <row r="189" spans="2:18" ht="15.75" x14ac:dyDescent="0.2">
      <c r="B189" s="4"/>
      <c r="C189" s="209"/>
      <c r="D189" s="145">
        <v>7</v>
      </c>
      <c r="E189" s="356" t="s">
        <v>103</v>
      </c>
      <c r="F189" s="356"/>
      <c r="G189" s="356"/>
      <c r="H189" s="386"/>
      <c r="I189" s="210"/>
      <c r="J189" s="144">
        <v>15</v>
      </c>
      <c r="K189" s="389" t="s">
        <v>111</v>
      </c>
      <c r="L189" s="389"/>
      <c r="M189" s="390"/>
      <c r="N189" s="49"/>
      <c r="O189" s="49"/>
      <c r="P189" s="49"/>
      <c r="Q189" s="6"/>
    </row>
    <row r="190" spans="2:18" ht="15" customHeight="1" x14ac:dyDescent="0.2">
      <c r="B190" s="4"/>
      <c r="C190" s="211"/>
      <c r="D190" s="145">
        <v>10</v>
      </c>
      <c r="E190" s="356" t="s">
        <v>106</v>
      </c>
      <c r="F190" s="356"/>
      <c r="G190" s="356"/>
      <c r="H190" s="386"/>
      <c r="I190" s="212"/>
      <c r="J190" s="145">
        <v>16</v>
      </c>
      <c r="K190" s="387" t="s">
        <v>112</v>
      </c>
      <c r="L190" s="387"/>
      <c r="M190" s="388"/>
      <c r="N190" s="68"/>
      <c r="O190" s="68"/>
      <c r="P190" s="68"/>
      <c r="Q190" s="6"/>
    </row>
    <row r="191" spans="2:18" ht="14.45" customHeight="1" x14ac:dyDescent="0.2">
      <c r="B191" s="4"/>
      <c r="C191" s="213"/>
      <c r="D191" s="145">
        <v>11</v>
      </c>
      <c r="E191" s="356" t="s">
        <v>107</v>
      </c>
      <c r="F191" s="356"/>
      <c r="G191" s="356"/>
      <c r="H191" s="386"/>
      <c r="I191" s="214"/>
      <c r="J191" s="145">
        <v>20</v>
      </c>
      <c r="K191" s="356" t="s">
        <v>116</v>
      </c>
      <c r="L191" s="356"/>
      <c r="M191" s="386"/>
      <c r="N191" s="143"/>
      <c r="O191" s="143"/>
      <c r="P191" s="143"/>
      <c r="Q191" s="6"/>
    </row>
    <row r="192" spans="2:18" ht="12.6" customHeight="1" x14ac:dyDescent="0.2">
      <c r="B192" s="4"/>
      <c r="C192" s="215"/>
      <c r="D192" s="145">
        <v>12</v>
      </c>
      <c r="E192" s="356" t="s">
        <v>108</v>
      </c>
      <c r="F192" s="356"/>
      <c r="G192" s="356"/>
      <c r="H192" s="386"/>
      <c r="I192" s="216"/>
      <c r="J192" s="145">
        <v>21</v>
      </c>
      <c r="K192" s="356" t="s">
        <v>117</v>
      </c>
      <c r="L192" s="356"/>
      <c r="M192" s="386"/>
      <c r="N192" s="143"/>
      <c r="O192" s="143"/>
      <c r="P192" s="143"/>
      <c r="Q192" s="6"/>
    </row>
    <row r="193" spans="2:17" ht="14.45" customHeight="1" x14ac:dyDescent="0.2">
      <c r="B193" s="4"/>
      <c r="C193" s="217"/>
      <c r="D193" s="145">
        <v>13</v>
      </c>
      <c r="E193" s="356" t="s">
        <v>109</v>
      </c>
      <c r="F193" s="356"/>
      <c r="G193" s="356"/>
      <c r="H193" s="386"/>
      <c r="I193" s="218"/>
      <c r="J193" s="145">
        <v>22</v>
      </c>
      <c r="K193" s="356" t="s">
        <v>118</v>
      </c>
      <c r="L193" s="356"/>
      <c r="M193" s="386"/>
      <c r="N193" s="143"/>
      <c r="O193" s="143"/>
      <c r="P193" s="143"/>
      <c r="Q193" s="6"/>
    </row>
    <row r="194" spans="2:17" ht="13.5" customHeight="1" x14ac:dyDescent="0.2">
      <c r="B194" s="4"/>
      <c r="C194" s="219"/>
      <c r="D194" s="145">
        <v>14</v>
      </c>
      <c r="E194" s="356" t="s">
        <v>110</v>
      </c>
      <c r="F194" s="356"/>
      <c r="G194" s="356"/>
      <c r="H194" s="386"/>
      <c r="I194" s="220"/>
      <c r="J194" s="145">
        <v>23</v>
      </c>
      <c r="K194" s="387" t="s">
        <v>119</v>
      </c>
      <c r="L194" s="387"/>
      <c r="M194" s="388"/>
      <c r="N194" s="143"/>
      <c r="O194" s="143"/>
      <c r="P194" s="143"/>
      <c r="Q194" s="6"/>
    </row>
    <row r="195" spans="2:17" ht="14.45" customHeight="1" x14ac:dyDescent="0.2">
      <c r="B195" s="4"/>
      <c r="C195" s="143"/>
      <c r="D195" s="145"/>
      <c r="E195" s="356"/>
      <c r="F195" s="356"/>
      <c r="G195" s="356"/>
      <c r="H195" s="386"/>
      <c r="I195" s="221"/>
      <c r="J195" s="145">
        <v>24</v>
      </c>
      <c r="K195" s="356" t="s">
        <v>120</v>
      </c>
      <c r="L195" s="356"/>
      <c r="M195" s="386"/>
      <c r="N195" s="143"/>
      <c r="O195" s="143"/>
      <c r="P195" s="143"/>
      <c r="Q195" s="6"/>
    </row>
    <row r="196" spans="2:17" ht="14.45" customHeight="1" x14ac:dyDescent="0.2">
      <c r="B196" s="4"/>
      <c r="C196" s="143"/>
      <c r="D196" s="145"/>
      <c r="E196" s="143"/>
      <c r="F196" s="143"/>
      <c r="G196" s="143"/>
      <c r="H196" s="222"/>
      <c r="I196" s="223"/>
      <c r="J196" s="145">
        <v>25</v>
      </c>
      <c r="K196" s="356" t="s">
        <v>121</v>
      </c>
      <c r="L196" s="356"/>
      <c r="M196" s="386"/>
      <c r="N196" s="143"/>
      <c r="O196" s="143"/>
      <c r="P196" s="143"/>
      <c r="Q196" s="6"/>
    </row>
    <row r="197" spans="2:17" ht="14.45" customHeight="1" x14ac:dyDescent="0.2">
      <c r="B197" s="4"/>
      <c r="C197" s="143"/>
      <c r="D197" s="145"/>
      <c r="E197" s="143"/>
      <c r="F197" s="143"/>
      <c r="G197" s="143"/>
      <c r="H197" s="222"/>
      <c r="I197" s="224"/>
      <c r="J197" s="145">
        <v>26</v>
      </c>
      <c r="K197" s="356" t="s">
        <v>122</v>
      </c>
      <c r="L197" s="356"/>
      <c r="M197" s="386"/>
      <c r="N197" s="68"/>
      <c r="O197" s="68"/>
      <c r="P197" s="68"/>
      <c r="Q197" s="6"/>
    </row>
    <row r="198" spans="2:17" ht="12.95" customHeight="1" x14ac:dyDescent="0.2">
      <c r="B198" s="4"/>
      <c r="C198" s="143"/>
      <c r="D198" s="143"/>
      <c r="E198" s="143"/>
      <c r="F198" s="143"/>
      <c r="G198" s="143"/>
      <c r="H198" s="222"/>
      <c r="I198" s="225"/>
      <c r="J198" s="145">
        <v>27</v>
      </c>
      <c r="K198" s="356" t="s">
        <v>123</v>
      </c>
      <c r="L198" s="356"/>
      <c r="M198" s="386"/>
      <c r="N198" s="143"/>
      <c r="O198" s="143"/>
      <c r="P198" s="143"/>
      <c r="Q198" s="6"/>
    </row>
    <row r="199" spans="2:17" ht="13.5" customHeight="1" x14ac:dyDescent="0.2">
      <c r="B199" s="4"/>
      <c r="C199" s="143"/>
      <c r="D199" s="143"/>
      <c r="E199" s="143"/>
      <c r="F199" s="143"/>
      <c r="G199" s="143"/>
      <c r="H199" s="143"/>
      <c r="I199" s="226"/>
      <c r="J199" s="226"/>
      <c r="K199" s="226"/>
      <c r="L199" s="226"/>
      <c r="M199" s="226"/>
      <c r="N199" s="143"/>
      <c r="O199" s="143"/>
      <c r="P199" s="143"/>
      <c r="Q199" s="6"/>
    </row>
    <row r="200" spans="2:17" ht="13.5" customHeight="1" x14ac:dyDescent="0.2">
      <c r="B200" s="4"/>
      <c r="C200" s="226"/>
      <c r="D200" s="226"/>
      <c r="E200" s="226"/>
      <c r="F200" s="226"/>
      <c r="G200" s="226"/>
      <c r="H200" s="143"/>
      <c r="I200" s="226"/>
      <c r="J200" s="226"/>
      <c r="K200" s="226"/>
      <c r="L200" s="226"/>
      <c r="M200" s="226"/>
      <c r="N200" s="143"/>
      <c r="O200" s="143"/>
      <c r="P200" s="143"/>
      <c r="Q200" s="6"/>
    </row>
    <row r="201" spans="2:17" ht="21.95" customHeight="1" x14ac:dyDescent="0.2">
      <c r="B201" s="4"/>
      <c r="C201" s="395" t="s">
        <v>460</v>
      </c>
      <c r="D201" s="395"/>
      <c r="E201" s="395"/>
      <c r="F201" s="395"/>
      <c r="G201" s="395"/>
      <c r="H201" s="143"/>
      <c r="I201" s="226"/>
      <c r="J201" s="226"/>
      <c r="K201" s="226"/>
      <c r="L201" s="226"/>
      <c r="M201" s="226"/>
      <c r="N201" s="143"/>
      <c r="O201" s="143"/>
      <c r="P201" s="143"/>
      <c r="Q201" s="6"/>
    </row>
    <row r="202" spans="2:17" ht="13.5" customHeight="1" x14ac:dyDescent="0.2">
      <c r="B202" s="4"/>
      <c r="C202" s="403" t="s">
        <v>462</v>
      </c>
      <c r="D202" s="403"/>
      <c r="E202" s="403"/>
      <c r="F202" s="403"/>
      <c r="G202" s="403"/>
      <c r="H202" s="403"/>
      <c r="I202" s="403"/>
      <c r="J202" s="403"/>
      <c r="K202" s="403"/>
      <c r="L202" s="403"/>
      <c r="M202" s="403"/>
      <c r="N202" s="403"/>
      <c r="O202" s="403"/>
      <c r="P202" s="403"/>
      <c r="Q202" s="6"/>
    </row>
    <row r="203" spans="2:17" ht="19.5" customHeight="1" x14ac:dyDescent="0.25">
      <c r="B203" s="4"/>
      <c r="C203" s="404" t="s">
        <v>463</v>
      </c>
      <c r="D203" s="404"/>
      <c r="E203" s="404"/>
      <c r="F203" s="404"/>
      <c r="G203" s="404"/>
      <c r="H203" s="404"/>
      <c r="I203" s="404"/>
      <c r="J203" s="404"/>
      <c r="K203" s="404"/>
      <c r="L203" s="404"/>
      <c r="M203" s="404"/>
      <c r="N203" s="404"/>
      <c r="O203" s="227"/>
      <c r="P203" s="143"/>
      <c r="Q203" s="6"/>
    </row>
    <row r="204" spans="2:17" ht="18" customHeight="1" x14ac:dyDescent="0.25">
      <c r="B204" s="4"/>
      <c r="C204" s="402" t="s">
        <v>464</v>
      </c>
      <c r="D204" s="402"/>
      <c r="E204" s="402"/>
      <c r="F204" s="402"/>
      <c r="G204" s="402"/>
      <c r="H204" s="402"/>
      <c r="I204" s="402"/>
      <c r="J204" s="402"/>
      <c r="K204" s="402"/>
      <c r="L204" s="402"/>
      <c r="M204" s="402"/>
      <c r="N204" s="402"/>
      <c r="O204" s="227"/>
      <c r="P204" s="143"/>
      <c r="Q204" s="6"/>
    </row>
    <row r="205" spans="2:17" ht="21.95" customHeight="1" x14ac:dyDescent="0.2">
      <c r="B205" s="4"/>
      <c r="C205" s="405" t="s">
        <v>461</v>
      </c>
      <c r="D205" s="405"/>
      <c r="E205" s="405"/>
      <c r="F205" s="405"/>
      <c r="G205" s="405"/>
      <c r="H205" s="405"/>
      <c r="I205" s="405"/>
      <c r="J205" s="405"/>
      <c r="K205" s="405"/>
      <c r="L205" s="405"/>
      <c r="M205" s="405"/>
      <c r="N205" s="405"/>
      <c r="O205" s="405"/>
      <c r="P205" s="143"/>
      <c r="Q205" s="6"/>
    </row>
    <row r="206" spans="2:17" ht="13.5" customHeight="1" x14ac:dyDescent="0.2">
      <c r="B206" s="4"/>
      <c r="C206" s="143"/>
      <c r="D206" s="143"/>
      <c r="E206" s="143"/>
      <c r="F206" s="143"/>
      <c r="G206" s="143"/>
      <c r="H206" s="143"/>
      <c r="I206" s="226"/>
      <c r="J206" s="226"/>
      <c r="K206" s="226"/>
      <c r="L206" s="226"/>
      <c r="M206" s="226"/>
      <c r="N206" s="143"/>
      <c r="O206" s="143"/>
      <c r="P206" s="143"/>
      <c r="Q206" s="6"/>
    </row>
    <row r="207" spans="2:17" ht="21" customHeight="1" x14ac:dyDescent="0.2">
      <c r="B207" s="4"/>
      <c r="C207" s="406" t="s">
        <v>468</v>
      </c>
      <c r="D207" s="406"/>
      <c r="E207" s="406"/>
      <c r="F207" s="406"/>
      <c r="G207" s="406"/>
      <c r="H207" s="406"/>
      <c r="I207" s="406"/>
      <c r="J207" s="406"/>
      <c r="K207" s="406"/>
      <c r="L207" s="406"/>
      <c r="M207" s="406"/>
      <c r="N207" s="406"/>
      <c r="O207" s="406"/>
      <c r="P207" s="143"/>
      <c r="Q207" s="6"/>
    </row>
    <row r="208" spans="2:17" ht="13.5" customHeight="1" x14ac:dyDescent="0.25">
      <c r="B208" s="4"/>
      <c r="C208" s="403" t="s">
        <v>469</v>
      </c>
      <c r="D208" s="403"/>
      <c r="E208" s="403"/>
      <c r="F208" s="403"/>
      <c r="G208" s="403"/>
      <c r="H208" s="403"/>
      <c r="I208" s="403"/>
      <c r="J208" s="403"/>
      <c r="K208" s="403"/>
      <c r="L208" s="403"/>
      <c r="M208" s="403"/>
      <c r="N208" s="228"/>
      <c r="O208" s="227"/>
      <c r="P208" s="143"/>
      <c r="Q208" s="6"/>
    </row>
    <row r="209" spans="2:17" ht="18" customHeight="1" x14ac:dyDescent="0.25">
      <c r="B209" s="4"/>
      <c r="C209" s="401" t="s">
        <v>465</v>
      </c>
      <c r="D209" s="401"/>
      <c r="E209" s="401"/>
      <c r="F209" s="401"/>
      <c r="G209" s="401"/>
      <c r="H209" s="401"/>
      <c r="I209" s="401"/>
      <c r="J209" s="401"/>
      <c r="K209" s="401"/>
      <c r="L209" s="401"/>
      <c r="M209" s="401"/>
      <c r="N209" s="401"/>
      <c r="O209" s="227"/>
      <c r="P209" s="143"/>
      <c r="Q209" s="6"/>
    </row>
    <row r="210" spans="2:17" ht="13.5" customHeight="1" x14ac:dyDescent="0.25">
      <c r="B210" s="4"/>
      <c r="C210" s="402" t="s">
        <v>466</v>
      </c>
      <c r="D210" s="402"/>
      <c r="E210" s="402"/>
      <c r="F210" s="402"/>
      <c r="G210" s="402"/>
      <c r="H210" s="402"/>
      <c r="I210" s="402"/>
      <c r="J210" s="402"/>
      <c r="K210" s="402"/>
      <c r="L210" s="402"/>
      <c r="M210" s="402"/>
      <c r="N210" s="402"/>
      <c r="O210" s="227"/>
      <c r="P210" s="143"/>
      <c r="Q210" s="6"/>
    </row>
    <row r="211" spans="2:17" ht="16.5" customHeight="1" x14ac:dyDescent="0.25">
      <c r="B211" s="4"/>
      <c r="C211" s="401" t="s">
        <v>467</v>
      </c>
      <c r="D211" s="401"/>
      <c r="E211" s="401"/>
      <c r="F211" s="401"/>
      <c r="G211" s="401"/>
      <c r="H211" s="401"/>
      <c r="I211" s="401"/>
      <c r="J211" s="401"/>
      <c r="K211" s="401"/>
      <c r="L211" s="401"/>
      <c r="M211" s="401"/>
      <c r="N211" s="401"/>
      <c r="O211" s="227"/>
      <c r="P211" s="143"/>
      <c r="Q211" s="6"/>
    </row>
    <row r="212" spans="2:17" ht="13.5" customHeight="1" x14ac:dyDescent="0.2">
      <c r="B212" s="4"/>
      <c r="C212" s="143"/>
      <c r="D212" s="143"/>
      <c r="E212" s="143"/>
      <c r="F212" s="143"/>
      <c r="G212" s="143"/>
      <c r="H212" s="143"/>
      <c r="I212" s="226"/>
      <c r="J212" s="226"/>
      <c r="K212" s="226"/>
      <c r="L212" s="226"/>
      <c r="M212" s="226"/>
      <c r="N212" s="143"/>
      <c r="O212" s="143"/>
      <c r="P212" s="143"/>
      <c r="Q212" s="6"/>
    </row>
    <row r="213" spans="2:17" ht="13.5" customHeight="1" x14ac:dyDescent="0.2">
      <c r="B213" s="4"/>
      <c r="C213" s="143"/>
      <c r="D213" s="143"/>
      <c r="E213" s="143"/>
      <c r="F213" s="143"/>
      <c r="G213" s="143"/>
      <c r="H213" s="143"/>
      <c r="I213" s="226"/>
      <c r="J213" s="226"/>
      <c r="K213" s="226"/>
      <c r="L213" s="226"/>
      <c r="M213" s="226"/>
      <c r="N213" s="143"/>
      <c r="O213" s="143"/>
      <c r="P213" s="143"/>
      <c r="Q213" s="6"/>
    </row>
    <row r="214" spans="2:17" ht="5.25" customHeight="1" x14ac:dyDescent="0.2">
      <c r="B214" s="4"/>
      <c r="C214" s="143"/>
      <c r="D214" s="143"/>
      <c r="E214" s="143"/>
      <c r="F214" s="143"/>
      <c r="G214" s="143"/>
      <c r="H214" s="143"/>
      <c r="I214" s="143"/>
      <c r="J214" s="145"/>
      <c r="K214" s="143"/>
      <c r="L214" s="143"/>
      <c r="M214" s="143"/>
      <c r="N214" s="143"/>
      <c r="O214" s="143"/>
      <c r="P214" s="143"/>
      <c r="Q214" s="6"/>
    </row>
    <row r="215" spans="2:17" ht="5.25" customHeight="1" x14ac:dyDescent="0.2">
      <c r="B215" s="4"/>
      <c r="C215" s="49"/>
      <c r="D215" s="49"/>
      <c r="E215" s="49"/>
      <c r="F215" s="49"/>
      <c r="G215" s="49"/>
      <c r="H215" s="49"/>
      <c r="I215" s="49"/>
      <c r="J215" s="49"/>
      <c r="K215" s="49"/>
      <c r="L215" s="49"/>
      <c r="M215" s="49"/>
      <c r="N215" s="49"/>
      <c r="O215" s="49"/>
      <c r="P215" s="49"/>
      <c r="Q215" s="6"/>
    </row>
    <row r="216" spans="2:17" ht="82.5" customHeight="1" x14ac:dyDescent="0.25">
      <c r="B216" s="4"/>
      <c r="C216" s="229"/>
      <c r="D216" s="68"/>
      <c r="E216" s="68"/>
      <c r="F216" s="68"/>
      <c r="G216" s="68"/>
      <c r="H216" s="363" t="s">
        <v>605</v>
      </c>
      <c r="I216" s="363"/>
      <c r="J216" s="363"/>
      <c r="K216" s="363"/>
      <c r="L216" s="363"/>
      <c r="M216" s="363"/>
      <c r="N216" s="363"/>
      <c r="O216" s="363"/>
      <c r="P216" s="363"/>
      <c r="Q216" s="6"/>
    </row>
    <row r="217" spans="2:17" ht="4.5" customHeight="1" x14ac:dyDescent="0.2">
      <c r="B217" s="4"/>
      <c r="C217" s="12"/>
      <c r="D217" s="12"/>
      <c r="E217" s="12"/>
      <c r="F217" s="12"/>
      <c r="G217" s="12"/>
      <c r="H217" s="12"/>
      <c r="I217" s="12"/>
      <c r="J217" s="12"/>
      <c r="K217" s="12"/>
      <c r="L217" s="12"/>
      <c r="M217" s="12"/>
      <c r="N217" s="12"/>
      <c r="O217" s="12"/>
      <c r="P217" s="12"/>
      <c r="Q217" s="6"/>
    </row>
    <row r="218" spans="2:17" ht="5.25" customHeight="1" x14ac:dyDescent="0.2">
      <c r="B218" s="4"/>
      <c r="C218" s="12"/>
      <c r="D218" s="12"/>
      <c r="E218" s="12"/>
      <c r="F218" s="12"/>
      <c r="G218" s="12"/>
      <c r="H218" s="12"/>
      <c r="I218" s="12"/>
      <c r="J218" s="12"/>
      <c r="K218" s="12"/>
      <c r="L218" s="12"/>
      <c r="M218" s="12"/>
      <c r="N218" s="12"/>
      <c r="O218" s="12"/>
      <c r="P218" s="12"/>
      <c r="Q218" s="6"/>
    </row>
    <row r="219" spans="2:17" ht="3.75" customHeight="1" thickBot="1" x14ac:dyDescent="0.25">
      <c r="B219" s="7"/>
      <c r="C219" s="8"/>
      <c r="D219" s="8"/>
      <c r="E219" s="8"/>
      <c r="F219" s="8"/>
      <c r="G219" s="8"/>
      <c r="H219" s="8"/>
      <c r="I219" s="8"/>
      <c r="J219" s="8"/>
      <c r="K219" s="8"/>
      <c r="L219" s="8"/>
      <c r="M219" s="8"/>
      <c r="N219" s="8"/>
      <c r="O219" s="8"/>
      <c r="P219" s="8"/>
      <c r="Q219" s="9"/>
    </row>
  </sheetData>
  <sheetProtection algorithmName="SHA-512" hashValue="TtK98fx95vYWcRS2zMNH43ZZbTQitJMVBq3M5LR0n8jsCQXHtIuPNmhoj1k58eTBaWXsFa/AJonFxtCFQLS7Kw==" saltValue="ZMvO9fOJz+vKp7HnlbwIFg==" spinCount="100000" sheet="1" objects="1" scenarios="1" selectLockedCells="1"/>
  <mergeCells count="212">
    <mergeCell ref="E194:H194"/>
    <mergeCell ref="G79:P79"/>
    <mergeCell ref="C209:N209"/>
    <mergeCell ref="C210:N210"/>
    <mergeCell ref="C211:N211"/>
    <mergeCell ref="C208:M208"/>
    <mergeCell ref="C80:F80"/>
    <mergeCell ref="C201:G201"/>
    <mergeCell ref="C203:N203"/>
    <mergeCell ref="C204:N204"/>
    <mergeCell ref="C202:P202"/>
    <mergeCell ref="C205:O205"/>
    <mergeCell ref="C207:O207"/>
    <mergeCell ref="K185:M185"/>
    <mergeCell ref="E185:H185"/>
    <mergeCell ref="E187:H187"/>
    <mergeCell ref="C183:H183"/>
    <mergeCell ref="K197:M197"/>
    <mergeCell ref="K198:M198"/>
    <mergeCell ref="K195:M195"/>
    <mergeCell ref="K196:M196"/>
    <mergeCell ref="E190:H190"/>
    <mergeCell ref="E191:H191"/>
    <mergeCell ref="E192:H192"/>
    <mergeCell ref="E193:H193"/>
    <mergeCell ref="C50:D50"/>
    <mergeCell ref="C54:D54"/>
    <mergeCell ref="C58:E58"/>
    <mergeCell ref="C56:P56"/>
    <mergeCell ref="G63:P63"/>
    <mergeCell ref="G64:P64"/>
    <mergeCell ref="G65:P65"/>
    <mergeCell ref="G66:P66"/>
    <mergeCell ref="C63:F63"/>
    <mergeCell ref="C64:F64"/>
    <mergeCell ref="C65:F65"/>
    <mergeCell ref="C66:F66"/>
    <mergeCell ref="C95:F95"/>
    <mergeCell ref="C123:F123"/>
    <mergeCell ref="C124:F124"/>
    <mergeCell ref="C125:F125"/>
    <mergeCell ref="C126:F126"/>
    <mergeCell ref="C127:F127"/>
    <mergeCell ref="C128:F128"/>
    <mergeCell ref="C116:F116"/>
    <mergeCell ref="C117:F117"/>
    <mergeCell ref="C118:F118"/>
    <mergeCell ref="C110:F110"/>
    <mergeCell ref="C111:F111"/>
    <mergeCell ref="C141:F141"/>
    <mergeCell ref="C156:F156"/>
    <mergeCell ref="C130:F130"/>
    <mergeCell ref="C131:F131"/>
    <mergeCell ref="C121:F121"/>
    <mergeCell ref="C122:F122"/>
    <mergeCell ref="C170:F170"/>
    <mergeCell ref="K194:M194"/>
    <mergeCell ref="K187:M187"/>
    <mergeCell ref="E186:H186"/>
    <mergeCell ref="C174:H174"/>
    <mergeCell ref="E188:H188"/>
    <mergeCell ref="K184:M184"/>
    <mergeCell ref="C175:E175"/>
    <mergeCell ref="C155:F155"/>
    <mergeCell ref="C138:F138"/>
    <mergeCell ref="C139:F139"/>
    <mergeCell ref="C140:F140"/>
    <mergeCell ref="C177:P177"/>
    <mergeCell ref="C179:P179"/>
    <mergeCell ref="C178:P178"/>
    <mergeCell ref="C180:P180"/>
    <mergeCell ref="N183:P183"/>
    <mergeCell ref="E195:H195"/>
    <mergeCell ref="K190:M190"/>
    <mergeCell ref="K191:M191"/>
    <mergeCell ref="K193:M193"/>
    <mergeCell ref="K189:M189"/>
    <mergeCell ref="K188:M188"/>
    <mergeCell ref="K192:M192"/>
    <mergeCell ref="C7:D7"/>
    <mergeCell ref="C24:D24"/>
    <mergeCell ref="C31:D31"/>
    <mergeCell ref="C34:D34"/>
    <mergeCell ref="E28:L28"/>
    <mergeCell ref="E29:L29"/>
    <mergeCell ref="C26:L26"/>
    <mergeCell ref="C18:M18"/>
    <mergeCell ref="C21:M21"/>
    <mergeCell ref="C22:M22"/>
    <mergeCell ref="C17:P17"/>
    <mergeCell ref="C19:P19"/>
    <mergeCell ref="C20:P20"/>
    <mergeCell ref="C13:P14"/>
    <mergeCell ref="E189:H189"/>
    <mergeCell ref="E184:H184"/>
    <mergeCell ref="K186:M186"/>
    <mergeCell ref="C59:M59"/>
    <mergeCell ref="C61:F61"/>
    <mergeCell ref="C68:F68"/>
    <mergeCell ref="C71:F71"/>
    <mergeCell ref="C67:F67"/>
    <mergeCell ref="C161:F161"/>
    <mergeCell ref="C162:F162"/>
    <mergeCell ref="C163:F163"/>
    <mergeCell ref="C143:F143"/>
    <mergeCell ref="C144:F144"/>
    <mergeCell ref="C145:F145"/>
    <mergeCell ref="C146:F146"/>
    <mergeCell ref="C147:F147"/>
    <mergeCell ref="C148:F148"/>
    <mergeCell ref="C149:F149"/>
    <mergeCell ref="C150:F150"/>
    <mergeCell ref="C151:F151"/>
    <mergeCell ref="C157:F157"/>
    <mergeCell ref="C77:F77"/>
    <mergeCell ref="C136:F136"/>
    <mergeCell ref="C137:F137"/>
    <mergeCell ref="C152:F152"/>
    <mergeCell ref="C153:F153"/>
    <mergeCell ref="C154:F154"/>
    <mergeCell ref="C176:P176"/>
    <mergeCell ref="C168:F168"/>
    <mergeCell ref="C164:F164"/>
    <mergeCell ref="C165:F165"/>
    <mergeCell ref="I183:M183"/>
    <mergeCell ref="C166:F166"/>
    <mergeCell ref="C167:F167"/>
    <mergeCell ref="C172:F172"/>
    <mergeCell ref="C8:P8"/>
    <mergeCell ref="C9:P10"/>
    <mergeCell ref="C11:P11"/>
    <mergeCell ref="C12:P12"/>
    <mergeCell ref="C33:P33"/>
    <mergeCell ref="C36:P36"/>
    <mergeCell ref="C40:P40"/>
    <mergeCell ref="C44:P44"/>
    <mergeCell ref="C48:P48"/>
    <mergeCell ref="C38:D38"/>
    <mergeCell ref="C42:D42"/>
    <mergeCell ref="C46:D46"/>
    <mergeCell ref="G80:P80"/>
    <mergeCell ref="C52:P52"/>
    <mergeCell ref="G62:P62"/>
    <mergeCell ref="G67:P67"/>
    <mergeCell ref="G81:P81"/>
    <mergeCell ref="C91:F91"/>
    <mergeCell ref="C92:F92"/>
    <mergeCell ref="C93:F93"/>
    <mergeCell ref="C94:F94"/>
    <mergeCell ref="C82:F82"/>
    <mergeCell ref="C75:F75"/>
    <mergeCell ref="C85:J85"/>
    <mergeCell ref="C90:F90"/>
    <mergeCell ref="C70:F70"/>
    <mergeCell ref="C62:F62"/>
    <mergeCell ref="C84:F84"/>
    <mergeCell ref="C81:F81"/>
    <mergeCell ref="C78:F78"/>
    <mergeCell ref="C79:F79"/>
    <mergeCell ref="C69:F69"/>
    <mergeCell ref="C72:F72"/>
    <mergeCell ref="C73:F73"/>
    <mergeCell ref="C74:F74"/>
    <mergeCell ref="C76:F76"/>
    <mergeCell ref="C96:F96"/>
    <mergeCell ref="G82:P82"/>
    <mergeCell ref="G61:P61"/>
    <mergeCell ref="C97:F97"/>
    <mergeCell ref="H216:P216"/>
    <mergeCell ref="C86:P88"/>
    <mergeCell ref="G68:P68"/>
    <mergeCell ref="G69:P69"/>
    <mergeCell ref="G70:P70"/>
    <mergeCell ref="G71:P71"/>
    <mergeCell ref="G72:P72"/>
    <mergeCell ref="G73:P73"/>
    <mergeCell ref="G74:P74"/>
    <mergeCell ref="G75:P75"/>
    <mergeCell ref="G76:P76"/>
    <mergeCell ref="G77:P77"/>
    <mergeCell ref="G78:P78"/>
    <mergeCell ref="C129:F129"/>
    <mergeCell ref="C133:F133"/>
    <mergeCell ref="C134:F134"/>
    <mergeCell ref="C135:F135"/>
    <mergeCell ref="C119:F119"/>
    <mergeCell ref="C120:F120"/>
    <mergeCell ref="C132:F132"/>
    <mergeCell ref="C169:F169"/>
    <mergeCell ref="C181:P181"/>
    <mergeCell ref="C171:F171"/>
    <mergeCell ref="C98:F98"/>
    <mergeCell ref="C99:F99"/>
    <mergeCell ref="C158:F158"/>
    <mergeCell ref="C159:F159"/>
    <mergeCell ref="C160:F160"/>
    <mergeCell ref="C100:F100"/>
    <mergeCell ref="C101:F101"/>
    <mergeCell ref="C102:F102"/>
    <mergeCell ref="C103:F103"/>
    <mergeCell ref="C104:F104"/>
    <mergeCell ref="C105:F105"/>
    <mergeCell ref="C106:F106"/>
    <mergeCell ref="C107:F107"/>
    <mergeCell ref="C108:F108"/>
    <mergeCell ref="C112:F112"/>
    <mergeCell ref="C113:F113"/>
    <mergeCell ref="C114:F114"/>
    <mergeCell ref="C115:F115"/>
    <mergeCell ref="C173:F173"/>
    <mergeCell ref="C142:F142"/>
    <mergeCell ref="C109:F109"/>
  </mergeCells>
  <hyperlinks>
    <hyperlink ref="C36:M36" r:id="rId1" display="https://gridreferencefinder.com/" xr:uid="{F15C9553-7F37-4BE6-80A4-B50E4FE4D238}"/>
    <hyperlink ref="C202:P202" r:id="rId2" display="a) Go to this link:  https://environment.data.gov.uk/catchment-planning/ManagementCatchment/3008" xr:uid="{443C11E4-AF5A-4503-8CDB-68D87D118C16}"/>
    <hyperlink ref="C208:M208" r:id="rId3" display="a) Go to this link: https://mapapps2.bgs.ac.uk/ukso/home.html?layers=NVZEng" xr:uid="{5CB20928-4FB0-43A0-8DF5-6B31235ED407}"/>
    <hyperlink ref="C177:P177" r:id="rId4" display="The user should use the Soilscapes tool (Cranfield soil and Agrifood institute, 2020) to determine the dominant soil type on their site. Soilscapes can be found at http://www.landis.org.uk/soilscapes/index.cfm" xr:uid="{678895F5-D3CD-40CB-93B2-A8B2B7C391D7}"/>
  </hyperlinks>
  <pageMargins left="0.7" right="0.7" top="0.75" bottom="0.75" header="0.3" footer="0.3"/>
  <pageSetup paperSize="9" scale="55" fitToWidth="0" fitToHeight="0" orientation="portrait" horizontalDpi="360" verticalDpi="360" r:id="rId5"/>
  <rowBreaks count="1" manualBreakCount="1">
    <brk id="45" max="16383" man="1"/>
  </rowBreaks>
  <colBreaks count="1" manualBreakCount="1">
    <brk id="1" max="1048575" man="1"/>
  </colBreaks>
  <customProperties>
    <customPr name="SSC_SHEET_GUID" r:id="rId6"/>
  </customProperties>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F13BD-B39F-422F-9176-9130D47FCF77}">
  <sheetPr>
    <tabColor theme="7" tint="0.79998168889431442"/>
    <pageSetUpPr fitToPage="1"/>
  </sheetPr>
  <dimension ref="A1:S17"/>
  <sheetViews>
    <sheetView zoomScale="115" zoomScaleNormal="115" workbookViewId="0"/>
  </sheetViews>
  <sheetFormatPr defaultRowHeight="12.75" x14ac:dyDescent="0.2"/>
  <cols>
    <col min="2" max="3" width="0.85546875" customWidth="1"/>
    <col min="4" max="4" width="2.140625" customWidth="1"/>
    <col min="5" max="5" width="13.140625" customWidth="1"/>
    <col min="6" max="6" width="8.140625" customWidth="1"/>
    <col min="10" max="10" width="11.140625" customWidth="1"/>
    <col min="11" max="11" width="18.140625" customWidth="1"/>
    <col min="12" max="12" width="6.7109375" customWidth="1"/>
    <col min="13" max="13" width="16.140625" customWidth="1"/>
    <col min="14" max="14" width="6.42578125" customWidth="1"/>
    <col min="15" max="15" width="14.140625" customWidth="1"/>
    <col min="16" max="16" width="5.7109375" customWidth="1"/>
    <col min="18" max="18" width="4.140625" customWidth="1"/>
    <col min="19" max="19" width="0.85546875" customWidth="1"/>
  </cols>
  <sheetData>
    <row r="1" spans="1:19" ht="13.5" thickBot="1" x14ac:dyDescent="0.25">
      <c r="A1" s="40" t="s">
        <v>600</v>
      </c>
    </row>
    <row r="2" spans="1:19" ht="15.75" x14ac:dyDescent="0.2">
      <c r="B2" s="43"/>
      <c r="C2" s="331"/>
      <c r="D2" s="331"/>
      <c r="E2" s="331"/>
      <c r="F2" s="331"/>
      <c r="G2" s="331"/>
      <c r="H2" s="331"/>
      <c r="I2" s="331"/>
      <c r="J2" s="331"/>
      <c r="K2" s="331"/>
      <c r="L2" s="331"/>
      <c r="M2" s="331"/>
      <c r="N2" s="331"/>
      <c r="O2" s="331"/>
      <c r="P2" s="331"/>
      <c r="Q2" s="331"/>
      <c r="R2" s="331"/>
      <c r="S2" s="3"/>
    </row>
    <row r="3" spans="1:19" ht="37.5" customHeight="1" x14ac:dyDescent="0.2">
      <c r="B3" s="46"/>
      <c r="C3" s="66"/>
      <c r="D3" s="68"/>
      <c r="E3" s="197" t="s">
        <v>600</v>
      </c>
      <c r="F3" s="433" t="s">
        <v>539</v>
      </c>
      <c r="G3" s="433"/>
      <c r="H3" s="433"/>
      <c r="I3" s="433"/>
      <c r="J3" s="433"/>
      <c r="K3" s="433"/>
      <c r="L3" s="433"/>
      <c r="M3" s="433"/>
      <c r="N3" s="433"/>
      <c r="O3" s="433"/>
      <c r="P3" s="433"/>
      <c r="Q3" s="234"/>
      <c r="R3" s="234"/>
      <c r="S3" s="6"/>
    </row>
    <row r="4" spans="1:19" ht="15.75" x14ac:dyDescent="0.2">
      <c r="B4" s="46"/>
      <c r="C4" s="145"/>
      <c r="D4" s="145"/>
      <c r="E4" s="254"/>
      <c r="F4" s="254"/>
      <c r="G4" s="254"/>
      <c r="H4" s="254"/>
      <c r="I4" s="254"/>
      <c r="J4" s="254"/>
      <c r="K4" s="254"/>
      <c r="L4" s="254"/>
      <c r="M4" s="254"/>
      <c r="N4" s="254"/>
      <c r="O4" s="254"/>
      <c r="P4" s="254"/>
      <c r="Q4" s="254"/>
      <c r="R4" s="254"/>
      <c r="S4" s="6"/>
    </row>
    <row r="5" spans="1:19" ht="15.6" customHeight="1" x14ac:dyDescent="0.2">
      <c r="B5" s="46"/>
      <c r="C5" s="145"/>
      <c r="D5" s="145"/>
      <c r="E5" s="48" t="s">
        <v>5</v>
      </c>
      <c r="F5" s="356" t="s">
        <v>502</v>
      </c>
      <c r="G5" s="356"/>
      <c r="H5" s="356"/>
      <c r="I5" s="356"/>
      <c r="J5" s="356"/>
      <c r="K5" s="68" t="s">
        <v>537</v>
      </c>
      <c r="L5" s="68"/>
      <c r="M5" s="68" t="s">
        <v>564</v>
      </c>
      <c r="N5" s="68"/>
      <c r="O5" s="68" t="s">
        <v>49</v>
      </c>
      <c r="P5" s="254"/>
      <c r="Q5" s="254"/>
      <c r="R5" s="254"/>
      <c r="S5" s="6"/>
    </row>
    <row r="6" spans="1:19" ht="26.45" customHeight="1" x14ac:dyDescent="0.2">
      <c r="B6" s="46"/>
      <c r="C6" s="49"/>
      <c r="D6" s="49"/>
      <c r="E6" s="254"/>
      <c r="F6" s="254"/>
      <c r="G6" s="254"/>
      <c r="H6" s="254"/>
      <c r="I6" s="254"/>
      <c r="J6" s="254"/>
      <c r="K6" s="145" t="s">
        <v>2</v>
      </c>
      <c r="L6" s="145"/>
      <c r="M6" s="145" t="s">
        <v>2</v>
      </c>
      <c r="N6" s="314"/>
      <c r="O6" s="145" t="s">
        <v>2</v>
      </c>
      <c r="P6" s="145"/>
      <c r="Q6" s="145" t="s">
        <v>24</v>
      </c>
      <c r="R6" s="254"/>
      <c r="S6" s="6"/>
    </row>
    <row r="7" spans="1:19" ht="15.75" x14ac:dyDescent="0.2">
      <c r="B7" s="46"/>
      <c r="C7" s="49"/>
      <c r="D7" s="49"/>
      <c r="E7" s="237"/>
      <c r="F7" s="432" t="s">
        <v>32</v>
      </c>
      <c r="G7" s="432"/>
      <c r="H7" s="432"/>
      <c r="I7" s="432"/>
      <c r="J7" s="432"/>
      <c r="K7" s="332">
        <f>IF('Mitigation - current'!K67&gt;0,'Mitigation - current'!P67,'Mitigation - current'!K80)</f>
        <v>0</v>
      </c>
      <c r="L7" s="237"/>
      <c r="M7" s="332">
        <f>IF('Mitigation - post 2030'!K67&gt;0,'Mitigation - post 2030'!P67,'Mitigation - post 2030'!K80)</f>
        <v>0</v>
      </c>
      <c r="N7" s="237"/>
      <c r="O7" s="332">
        <f t="shared" ref="O7:O12" si="0">M7-K7</f>
        <v>0</v>
      </c>
      <c r="P7" s="237"/>
      <c r="Q7" s="240" t="s">
        <v>17</v>
      </c>
      <c r="R7" s="237"/>
      <c r="S7" s="6"/>
    </row>
    <row r="8" spans="1:19" ht="15.75" x14ac:dyDescent="0.2">
      <c r="B8" s="46"/>
      <c r="C8" s="49"/>
      <c r="D8" s="49"/>
      <c r="E8" s="48"/>
      <c r="F8" s="432" t="s">
        <v>132</v>
      </c>
      <c r="G8" s="432"/>
      <c r="H8" s="432"/>
      <c r="I8" s="432"/>
      <c r="J8" s="432"/>
      <c r="K8" s="332">
        <f>IF('Mitigation - current'!K68&gt;0,'Mitigation - current'!P68,'Mitigation - current'!K81)</f>
        <v>0</v>
      </c>
      <c r="L8" s="144"/>
      <c r="M8" s="332">
        <f>IF('Mitigation - post 2030'!K68&gt;0,'Mitigation - post 2030'!P68,'Mitigation - post 2030'!K81)</f>
        <v>0</v>
      </c>
      <c r="N8" s="144"/>
      <c r="O8" s="332">
        <f t="shared" si="0"/>
        <v>0</v>
      </c>
      <c r="P8" s="49"/>
      <c r="Q8" s="240" t="s">
        <v>17</v>
      </c>
      <c r="R8" s="49"/>
      <c r="S8" s="6"/>
    </row>
    <row r="9" spans="1:19" ht="15.75" x14ac:dyDescent="0.2">
      <c r="B9" s="46"/>
      <c r="C9" s="49"/>
      <c r="D9" s="49"/>
      <c r="E9" s="49"/>
      <c r="F9" s="432" t="s">
        <v>33</v>
      </c>
      <c r="G9" s="432"/>
      <c r="H9" s="432"/>
      <c r="I9" s="432"/>
      <c r="J9" s="432"/>
      <c r="K9" s="332">
        <f>IF('Mitigation - current'!K69&gt;0,'Mitigation - current'!P69,'Mitigation - current'!K82)</f>
        <v>0</v>
      </c>
      <c r="L9" s="246"/>
      <c r="M9" s="332">
        <f>IF('Mitigation - post 2030'!K69&gt;0,'Mitigation - post 2030'!P69,'Mitigation - post 2030'!K82)</f>
        <v>0</v>
      </c>
      <c r="N9" s="246"/>
      <c r="O9" s="332">
        <f t="shared" si="0"/>
        <v>0</v>
      </c>
      <c r="P9" s="49"/>
      <c r="Q9" s="240" t="s">
        <v>17</v>
      </c>
      <c r="R9" s="49"/>
      <c r="S9" s="6"/>
    </row>
    <row r="10" spans="1:19" ht="15.75" x14ac:dyDescent="0.2">
      <c r="B10" s="46"/>
      <c r="C10" s="49"/>
      <c r="D10" s="49"/>
      <c r="E10" s="49"/>
      <c r="F10" s="432" t="s">
        <v>34</v>
      </c>
      <c r="G10" s="432"/>
      <c r="H10" s="432"/>
      <c r="I10" s="432"/>
      <c r="J10" s="432"/>
      <c r="K10" s="332">
        <f>IF('Mitigation - current'!K70&gt;0,'Mitigation - current'!P70,'Mitigation - current'!K83)</f>
        <v>0</v>
      </c>
      <c r="L10" s="49"/>
      <c r="M10" s="332">
        <f>IF('Mitigation - post 2030'!K70&gt;0,'Mitigation - post 2030'!P70,'Mitigation - post 2030'!K83)</f>
        <v>0</v>
      </c>
      <c r="N10" s="49"/>
      <c r="O10" s="332">
        <f t="shared" si="0"/>
        <v>0</v>
      </c>
      <c r="P10" s="49"/>
      <c r="Q10" s="240" t="s">
        <v>17</v>
      </c>
      <c r="R10" s="49"/>
      <c r="S10" s="6"/>
    </row>
    <row r="11" spans="1:19" ht="15.75" x14ac:dyDescent="0.2">
      <c r="B11" s="46"/>
      <c r="C11" s="49"/>
      <c r="D11" s="49"/>
      <c r="E11" s="49"/>
      <c r="F11" s="432" t="s">
        <v>245</v>
      </c>
      <c r="G11" s="432"/>
      <c r="H11" s="432"/>
      <c r="I11" s="432"/>
      <c r="J11" s="432"/>
      <c r="K11" s="332">
        <f>IF('Mitigation - current'!K71&gt;0,'Mitigation - current'!P71,'Mitigation - current'!K84)</f>
        <v>0</v>
      </c>
      <c r="L11" s="49"/>
      <c r="M11" s="332">
        <f>IF('Mitigation - post 2030'!K71&gt;0,'Mitigation - post 2030'!P71,'Mitigation - post 2030'!K84)</f>
        <v>0</v>
      </c>
      <c r="N11" s="49"/>
      <c r="O11" s="332">
        <f t="shared" si="0"/>
        <v>0</v>
      </c>
      <c r="P11" s="49"/>
      <c r="Q11" s="240" t="s">
        <v>17</v>
      </c>
      <c r="R11" s="49"/>
      <c r="S11" s="6"/>
    </row>
    <row r="12" spans="1:19" ht="15.75" x14ac:dyDescent="0.2">
      <c r="B12" s="46"/>
      <c r="C12" s="49"/>
      <c r="D12" s="49"/>
      <c r="E12" s="49"/>
      <c r="F12" s="432" t="s">
        <v>150</v>
      </c>
      <c r="G12" s="432"/>
      <c r="H12" s="432"/>
      <c r="I12" s="432"/>
      <c r="J12" s="432"/>
      <c r="K12" s="332">
        <f>IF('Mitigation - current'!K72&gt;0,'Mitigation - current'!P72,'Mitigation - current'!K85)</f>
        <v>0</v>
      </c>
      <c r="L12" s="49"/>
      <c r="M12" s="332">
        <f>IF('Mitigation - post 2030'!K72&gt;0,'Mitigation - post 2030'!P72,'Mitigation - post 2030'!K85)</f>
        <v>0</v>
      </c>
      <c r="N12" s="49"/>
      <c r="O12" s="332">
        <f t="shared" si="0"/>
        <v>0</v>
      </c>
      <c r="P12" s="49"/>
      <c r="Q12" s="240" t="s">
        <v>17</v>
      </c>
      <c r="R12" s="49"/>
      <c r="S12" s="6"/>
    </row>
    <row r="13" spans="1:19" ht="15.75" x14ac:dyDescent="0.2">
      <c r="B13" s="46"/>
      <c r="C13" s="49"/>
      <c r="D13" s="49"/>
      <c r="E13" s="49"/>
      <c r="F13" s="49"/>
      <c r="G13" s="49"/>
      <c r="H13" s="49"/>
      <c r="I13" s="49"/>
      <c r="J13" s="49"/>
      <c r="K13" s="144"/>
      <c r="L13" s="49"/>
      <c r="M13" s="144"/>
      <c r="N13" s="49"/>
      <c r="O13" s="144"/>
      <c r="P13" s="49"/>
      <c r="Q13" s="240"/>
      <c r="R13" s="49"/>
      <c r="S13" s="6"/>
    </row>
    <row r="14" spans="1:19" ht="15.75" x14ac:dyDescent="0.2">
      <c r="B14" s="46"/>
      <c r="C14" s="49"/>
      <c r="D14" s="49"/>
      <c r="E14" s="48"/>
      <c r="F14" s="146" t="s">
        <v>64</v>
      </c>
      <c r="G14" s="49"/>
      <c r="H14" s="49"/>
      <c r="I14" s="49"/>
      <c r="J14" s="49"/>
      <c r="K14" s="290">
        <f>SUM(K7:K12)</f>
        <v>0</v>
      </c>
      <c r="L14" s="144"/>
      <c r="M14" s="290">
        <f>SUM(M7:M12)</f>
        <v>0</v>
      </c>
      <c r="N14" s="49"/>
      <c r="O14" s="290">
        <f>SUM(O7:O12)</f>
        <v>0</v>
      </c>
      <c r="P14" s="49"/>
      <c r="Q14" s="246" t="s">
        <v>17</v>
      </c>
      <c r="R14" s="49"/>
      <c r="S14" s="6"/>
    </row>
    <row r="15" spans="1:19" ht="15.75" x14ac:dyDescent="0.2">
      <c r="B15" s="46"/>
      <c r="C15" s="49"/>
      <c r="D15" s="49"/>
      <c r="E15" s="49"/>
      <c r="F15" s="49"/>
      <c r="G15" s="49"/>
      <c r="H15" s="49"/>
      <c r="I15" s="49"/>
      <c r="J15" s="49"/>
      <c r="K15" s="49"/>
      <c r="L15" s="49"/>
      <c r="M15" s="49"/>
      <c r="N15" s="49"/>
      <c r="O15" s="49"/>
      <c r="P15" s="49"/>
      <c r="Q15" s="49"/>
      <c r="R15" s="49"/>
      <c r="S15" s="6"/>
    </row>
    <row r="16" spans="1:19" ht="12.6" customHeight="1" x14ac:dyDescent="0.2">
      <c r="B16" s="46"/>
      <c r="C16" s="49"/>
      <c r="D16" s="49"/>
      <c r="E16" s="428" t="s">
        <v>538</v>
      </c>
      <c r="F16" s="428"/>
      <c r="G16" s="428"/>
      <c r="H16" s="428"/>
      <c r="I16" s="428"/>
      <c r="J16" s="428"/>
      <c r="K16" s="428"/>
      <c r="L16" s="428"/>
      <c r="M16" s="428"/>
      <c r="N16" s="428"/>
      <c r="O16" s="428"/>
      <c r="P16" s="428"/>
      <c r="Q16" s="428"/>
      <c r="R16" s="49"/>
      <c r="S16" s="6"/>
    </row>
    <row r="17" spans="2:19" ht="23.1" customHeight="1" thickBot="1" x14ac:dyDescent="0.25">
      <c r="B17" s="50"/>
      <c r="C17" s="318"/>
      <c r="D17" s="318"/>
      <c r="E17" s="448"/>
      <c r="F17" s="448"/>
      <c r="G17" s="448"/>
      <c r="H17" s="448"/>
      <c r="I17" s="448"/>
      <c r="J17" s="448"/>
      <c r="K17" s="448"/>
      <c r="L17" s="448"/>
      <c r="M17" s="448"/>
      <c r="N17" s="448"/>
      <c r="O17" s="448"/>
      <c r="P17" s="448"/>
      <c r="Q17" s="448"/>
      <c r="R17" s="333"/>
      <c r="S17" s="18"/>
    </row>
  </sheetData>
  <sheetProtection algorithmName="SHA-512" hashValue="8m1BGvO4nXKFtzTE/k/V1XP6EcfsPJ6k9371ZumQMOh788g+Zfvyf3t/CZO1ZJoYA7NBYfYXPFLiGMSgWQ+0DQ==" saltValue="P8UiCE65eNo4xn+hNx/HUQ==" spinCount="100000" sheet="1" objects="1" scenarios="1" selectLockedCells="1"/>
  <mergeCells count="9">
    <mergeCell ref="F3:P3"/>
    <mergeCell ref="E16:Q17"/>
    <mergeCell ref="F5:J5"/>
    <mergeCell ref="F7:J7"/>
    <mergeCell ref="F8:J8"/>
    <mergeCell ref="F9:J9"/>
    <mergeCell ref="F10:J10"/>
    <mergeCell ref="F11:J11"/>
    <mergeCell ref="F12:J12"/>
  </mergeCells>
  <pageMargins left="0.70866141732283472" right="0.70866141732283472" top="0.74803149606299213" bottom="0.74803149606299213" header="0.31496062992125984" footer="0.31496062992125984"/>
  <pageSetup paperSize="9" scale="98" orientation="landscape" r:id="rId1"/>
  <headerFooter>
    <oddHeader>&amp;LPhosphate Budget Calculator&amp;CStage 7</oddHeader>
    <oddFooter>&amp;LVersion 2.2&amp;R&amp;D</oddFooter>
  </headerFooter>
  <customProperties>
    <customPr name="SSC_SHEET_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C2697-E527-4446-97B2-7CB2FF3A9419}">
  <sheetPr>
    <tabColor theme="5" tint="0.79998168889431442"/>
    <pageSetUpPr fitToPage="1"/>
  </sheetPr>
  <dimension ref="A1:V69"/>
  <sheetViews>
    <sheetView zoomScaleNormal="100" workbookViewId="0">
      <selection activeCell="G11" sqref="G11"/>
    </sheetView>
  </sheetViews>
  <sheetFormatPr defaultRowHeight="12.75" x14ac:dyDescent="0.2"/>
  <cols>
    <col min="1" max="1" width="2.7109375" customWidth="1"/>
    <col min="2" max="3" width="0.85546875" customWidth="1"/>
    <col min="4" max="4" width="6.42578125" hidden="1" customWidth="1"/>
    <col min="5" max="5" width="1" customWidth="1"/>
    <col min="6" max="6" width="5.5703125" customWidth="1"/>
    <col min="7" max="7" width="26" customWidth="1"/>
    <col min="10" max="10" width="8.85546875" customWidth="1"/>
    <col min="11" max="11" width="7.42578125" customWidth="1"/>
    <col min="12" max="12" width="12.42578125" customWidth="1"/>
    <col min="13" max="13" width="3.28515625" customWidth="1"/>
    <col min="14" max="14" width="2.140625" customWidth="1"/>
    <col min="15" max="15" width="8.85546875" customWidth="1"/>
    <col min="16" max="16" width="4.85546875" customWidth="1"/>
    <col min="17" max="17" width="6.5703125" customWidth="1"/>
    <col min="18" max="18" width="9.42578125" customWidth="1"/>
    <col min="19" max="19" width="6.5703125" customWidth="1"/>
    <col min="20" max="20" width="9.85546875" customWidth="1"/>
    <col min="21" max="21" width="12.7109375" customWidth="1"/>
    <col min="22" max="22" width="10.140625" customWidth="1"/>
    <col min="23" max="23" width="15.7109375" customWidth="1"/>
  </cols>
  <sheetData>
    <row r="1" spans="1:22" ht="13.5" thickBot="1" x14ac:dyDescent="0.25">
      <c r="A1" s="40" t="s">
        <v>601</v>
      </c>
    </row>
    <row r="2" spans="1:22" ht="3.6" customHeight="1" x14ac:dyDescent="0.2">
      <c r="B2" s="1"/>
      <c r="C2" s="2"/>
      <c r="D2" s="2"/>
      <c r="E2" s="2"/>
      <c r="F2" s="2"/>
      <c r="G2" s="2"/>
      <c r="H2" s="2"/>
      <c r="I2" s="2"/>
      <c r="J2" s="2"/>
      <c r="K2" s="2"/>
      <c r="L2" s="2"/>
      <c r="M2" s="2"/>
      <c r="N2" s="2"/>
      <c r="O2" s="2"/>
      <c r="P2" s="2"/>
      <c r="Q2" s="2"/>
      <c r="R2" s="2"/>
      <c r="S2" s="2"/>
      <c r="T2" s="2"/>
      <c r="U2" s="2"/>
      <c r="V2" s="3"/>
    </row>
    <row r="3" spans="1:22" ht="28.5" customHeight="1" x14ac:dyDescent="0.2">
      <c r="B3" s="4"/>
      <c r="E3" s="42"/>
      <c r="F3" s="445" t="s">
        <v>48</v>
      </c>
      <c r="G3" s="445"/>
      <c r="H3" s="445"/>
      <c r="I3" s="445"/>
      <c r="J3" s="445"/>
      <c r="K3" s="445"/>
      <c r="L3" s="445"/>
      <c r="M3" s="445"/>
      <c r="N3" s="445"/>
      <c r="O3" s="445"/>
      <c r="P3" s="445"/>
      <c r="Q3" s="445"/>
      <c r="R3" s="445"/>
      <c r="S3" s="445"/>
      <c r="T3" s="445"/>
      <c r="U3" s="445"/>
      <c r="V3" s="47"/>
    </row>
    <row r="4" spans="1:22" ht="2.1" customHeight="1" x14ac:dyDescent="0.25">
      <c r="B4" s="4"/>
      <c r="C4" s="11"/>
      <c r="E4" s="42"/>
      <c r="F4" s="227"/>
      <c r="G4" s="227"/>
      <c r="H4" s="227"/>
      <c r="I4" s="227"/>
      <c r="J4" s="227"/>
      <c r="K4" s="227"/>
      <c r="L4" s="227"/>
      <c r="M4" s="227"/>
      <c r="N4" s="227"/>
      <c r="O4" s="227"/>
      <c r="P4" s="227"/>
      <c r="Q4" s="227"/>
      <c r="R4" s="227"/>
      <c r="S4" s="227"/>
      <c r="T4" s="227"/>
      <c r="U4" s="227"/>
      <c r="V4" s="47"/>
    </row>
    <row r="5" spans="1:22" ht="15.75" x14ac:dyDescent="0.25">
      <c r="B5" s="4"/>
      <c r="C5" s="11"/>
      <c r="E5" s="42"/>
      <c r="F5" s="227"/>
      <c r="G5" s="453" t="str">
        <f>IF(AND(T15&gt;0,T15&lt;100),"Proposed development has a 'Zero' value","Proposed development does not have a 'Zero' value")</f>
        <v>Proposed development has a 'Zero' value</v>
      </c>
      <c r="H5" s="453"/>
      <c r="I5" s="453"/>
      <c r="J5" s="453"/>
      <c r="K5" s="453"/>
      <c r="L5" s="453"/>
      <c r="M5" s="453"/>
      <c r="N5" s="453"/>
      <c r="O5" s="453"/>
      <c r="P5" s="453"/>
      <c r="Q5" s="453"/>
      <c r="R5" s="453"/>
      <c r="S5" s="453"/>
      <c r="T5" s="453"/>
      <c r="U5" s="453"/>
      <c r="V5" s="47"/>
    </row>
    <row r="6" spans="1:22" ht="24.6" customHeight="1" x14ac:dyDescent="0.25">
      <c r="B6" s="4"/>
      <c r="C6" s="5"/>
      <c r="E6" s="42"/>
      <c r="F6" s="227"/>
      <c r="G6" s="453"/>
      <c r="H6" s="453"/>
      <c r="I6" s="453"/>
      <c r="J6" s="453"/>
      <c r="K6" s="453"/>
      <c r="L6" s="453"/>
      <c r="M6" s="453"/>
      <c r="N6" s="453"/>
      <c r="O6" s="453"/>
      <c r="P6" s="453"/>
      <c r="Q6" s="453"/>
      <c r="R6" s="453"/>
      <c r="S6" s="453"/>
      <c r="T6" s="453"/>
      <c r="U6" s="453"/>
      <c r="V6" s="47"/>
    </row>
    <row r="7" spans="1:22" ht="11.1" customHeight="1" x14ac:dyDescent="0.25">
      <c r="B7" s="4"/>
      <c r="C7" s="5"/>
      <c r="E7" s="42"/>
      <c r="F7" s="227"/>
      <c r="G7" s="428" t="s">
        <v>543</v>
      </c>
      <c r="H7" s="428"/>
      <c r="I7" s="428"/>
      <c r="J7" s="428"/>
      <c r="K7" s="428"/>
      <c r="L7" s="428"/>
      <c r="M7" s="428"/>
      <c r="N7" s="428"/>
      <c r="O7" s="428"/>
      <c r="P7" s="428"/>
      <c r="Q7" s="428"/>
      <c r="R7" s="428"/>
      <c r="S7" s="428"/>
      <c r="T7" s="428"/>
      <c r="U7" s="428"/>
      <c r="V7" s="47"/>
    </row>
    <row r="8" spans="1:22" ht="11.1" customHeight="1" x14ac:dyDescent="0.25">
      <c r="B8" s="4"/>
      <c r="C8" s="5"/>
      <c r="E8" s="42"/>
      <c r="F8" s="227"/>
      <c r="G8" s="428"/>
      <c r="H8" s="428"/>
      <c r="I8" s="428"/>
      <c r="J8" s="428"/>
      <c r="K8" s="428"/>
      <c r="L8" s="428"/>
      <c r="M8" s="428"/>
      <c r="N8" s="428"/>
      <c r="O8" s="428"/>
      <c r="P8" s="428"/>
      <c r="Q8" s="428"/>
      <c r="R8" s="428"/>
      <c r="S8" s="428"/>
      <c r="T8" s="428"/>
      <c r="U8" s="428"/>
      <c r="V8" s="47"/>
    </row>
    <row r="9" spans="1:22" ht="11.1" customHeight="1" x14ac:dyDescent="0.25">
      <c r="B9" s="4"/>
      <c r="C9" s="5"/>
      <c r="E9" s="42"/>
      <c r="F9" s="227"/>
      <c r="G9" s="428"/>
      <c r="H9" s="428"/>
      <c r="I9" s="428"/>
      <c r="J9" s="428"/>
      <c r="K9" s="428"/>
      <c r="L9" s="428"/>
      <c r="M9" s="428"/>
      <c r="N9" s="428"/>
      <c r="O9" s="428"/>
      <c r="P9" s="428"/>
      <c r="Q9" s="428"/>
      <c r="R9" s="428"/>
      <c r="S9" s="428"/>
      <c r="T9" s="428"/>
      <c r="U9" s="428"/>
      <c r="V9" s="47"/>
    </row>
    <row r="10" spans="1:22" ht="12" customHeight="1" x14ac:dyDescent="0.25">
      <c r="B10" s="4"/>
      <c r="C10" s="5"/>
      <c r="E10" s="42"/>
      <c r="F10" s="227"/>
      <c r="G10" s="435" t="s">
        <v>246</v>
      </c>
      <c r="H10" s="435"/>
      <c r="I10" s="435"/>
      <c r="J10" s="435"/>
      <c r="K10" s="435"/>
      <c r="L10" s="435"/>
      <c r="M10" s="435"/>
      <c r="N10" s="435"/>
      <c r="O10" s="435"/>
      <c r="P10" s="435"/>
      <c r="Q10" s="435"/>
      <c r="R10" s="435"/>
      <c r="S10" s="435"/>
      <c r="T10" s="435"/>
      <c r="U10" s="435"/>
      <c r="V10" s="47"/>
    </row>
    <row r="11" spans="1:22" ht="12" customHeight="1" x14ac:dyDescent="0.25">
      <c r="B11" s="4"/>
      <c r="C11" s="5"/>
      <c r="E11" s="42"/>
      <c r="F11" s="227"/>
      <c r="G11" s="351" t="s">
        <v>247</v>
      </c>
      <c r="H11" s="227"/>
      <c r="I11" s="227"/>
      <c r="J11" s="227"/>
      <c r="K11" s="227"/>
      <c r="L11" s="227"/>
      <c r="M11" s="227"/>
      <c r="N11" s="227"/>
      <c r="O11" s="227"/>
      <c r="P11" s="227"/>
      <c r="Q11" s="227"/>
      <c r="R11" s="227"/>
      <c r="S11" s="227"/>
      <c r="T11" s="227"/>
      <c r="U11" s="227"/>
      <c r="V11" s="47"/>
    </row>
    <row r="12" spans="1:22" ht="12" customHeight="1" x14ac:dyDescent="0.25">
      <c r="B12" s="4"/>
      <c r="C12" s="5"/>
      <c r="E12" s="42"/>
      <c r="F12" s="227"/>
      <c r="G12" s="227"/>
      <c r="H12" s="227"/>
      <c r="I12" s="227"/>
      <c r="J12" s="227"/>
      <c r="K12" s="227"/>
      <c r="L12" s="227"/>
      <c r="M12" s="227"/>
      <c r="N12" s="227"/>
      <c r="O12" s="227"/>
      <c r="P12" s="227"/>
      <c r="Q12" s="227"/>
      <c r="R12" s="227"/>
      <c r="S12" s="227"/>
      <c r="T12" s="227"/>
      <c r="U12" s="227"/>
      <c r="V12" s="47"/>
    </row>
    <row r="13" spans="1:22" ht="15.75" x14ac:dyDescent="0.25">
      <c r="B13" s="4"/>
      <c r="C13" s="5"/>
      <c r="E13" s="42"/>
      <c r="F13" s="227"/>
      <c r="G13" s="445" t="s">
        <v>57</v>
      </c>
      <c r="H13" s="445"/>
      <c r="I13" s="445"/>
      <c r="J13" s="445"/>
      <c r="K13" s="445"/>
      <c r="L13" s="445"/>
      <c r="M13" s="66"/>
      <c r="N13" s="49"/>
      <c r="O13" s="454" t="s">
        <v>54</v>
      </c>
      <c r="P13" s="454"/>
      <c r="Q13" s="454"/>
      <c r="R13" s="454"/>
      <c r="S13" s="454"/>
      <c r="T13" s="454"/>
      <c r="U13" s="454"/>
      <c r="V13" s="47"/>
    </row>
    <row r="14" spans="1:22" ht="15.75" x14ac:dyDescent="0.25">
      <c r="B14" s="4"/>
      <c r="C14" s="5"/>
      <c r="E14" s="42"/>
      <c r="F14" s="227"/>
      <c r="G14" s="227"/>
      <c r="H14" s="227"/>
      <c r="I14" s="227"/>
      <c r="J14" s="227"/>
      <c r="K14" s="227" t="s">
        <v>2</v>
      </c>
      <c r="L14" s="227" t="s">
        <v>24</v>
      </c>
      <c r="M14" s="227"/>
      <c r="N14" s="227"/>
      <c r="O14" s="227"/>
      <c r="P14" s="227"/>
      <c r="Q14" s="227"/>
      <c r="R14" s="227"/>
      <c r="S14" s="227"/>
      <c r="T14" s="144" t="s">
        <v>2</v>
      </c>
      <c r="U14" s="144" t="s">
        <v>24</v>
      </c>
      <c r="V14" s="47"/>
    </row>
    <row r="15" spans="1:22" ht="12" customHeight="1" x14ac:dyDescent="0.25">
      <c r="B15" s="4"/>
      <c r="C15" s="5"/>
      <c r="E15" s="42"/>
      <c r="F15" s="227"/>
      <c r="G15" s="374" t="s">
        <v>52</v>
      </c>
      <c r="H15" s="374"/>
      <c r="I15" s="374"/>
      <c r="J15" s="374"/>
      <c r="K15" s="334">
        <f>'Stage 1'!V11+'Stage 1'!V14+'Stage 1'!V17</f>
        <v>1100</v>
      </c>
      <c r="L15" s="335" t="s">
        <v>6</v>
      </c>
      <c r="M15" s="227"/>
      <c r="N15" s="227"/>
      <c r="O15" s="374" t="s">
        <v>422</v>
      </c>
      <c r="P15" s="374"/>
      <c r="Q15" s="374"/>
      <c r="R15" s="374"/>
      <c r="S15" s="374"/>
      <c r="T15" s="336">
        <f>-(INTERCEPT('Graph Calculations'!F14:Z14,'Graph Calculations'!F5:Z5))/(SLOPE('Graph Calculations'!F14:Z14,'Graph Calculations'!F5:Z5))</f>
        <v>94.020381464331393</v>
      </c>
      <c r="U15" s="294" t="s">
        <v>55</v>
      </c>
      <c r="V15" s="47"/>
    </row>
    <row r="16" spans="1:22" ht="15.75" x14ac:dyDescent="0.25">
      <c r="B16" s="4"/>
      <c r="C16" s="5"/>
      <c r="E16" s="42"/>
      <c r="F16" s="227"/>
      <c r="G16" s="374" t="s">
        <v>53</v>
      </c>
      <c r="H16" s="374"/>
      <c r="I16" s="374"/>
      <c r="J16" s="374"/>
      <c r="K16" s="336">
        <f>'Stage 2'!K41</f>
        <v>4.6500000000000004</v>
      </c>
      <c r="L16" s="335" t="s">
        <v>17</v>
      </c>
      <c r="M16" s="227"/>
      <c r="N16" s="227"/>
      <c r="O16" s="374" t="s">
        <v>423</v>
      </c>
      <c r="P16" s="374"/>
      <c r="Q16" s="374"/>
      <c r="R16" s="374"/>
      <c r="S16" s="374"/>
      <c r="T16" s="336">
        <f>-'Graph Calculations'!AB11</f>
        <v>4.4619471081183759</v>
      </c>
      <c r="U16" s="337" t="s">
        <v>35</v>
      </c>
      <c r="V16" s="47"/>
    </row>
    <row r="17" spans="2:22" ht="3.95" customHeight="1" x14ac:dyDescent="0.25">
      <c r="B17" s="4"/>
      <c r="C17" s="5"/>
      <c r="E17" s="42"/>
      <c r="F17" s="227"/>
      <c r="G17" s="49"/>
      <c r="H17" s="227"/>
      <c r="I17" s="227"/>
      <c r="J17" s="227"/>
      <c r="K17" s="49"/>
      <c r="L17" s="231"/>
      <c r="M17" s="227"/>
      <c r="N17" s="227"/>
      <c r="O17" s="49"/>
      <c r="P17" s="227"/>
      <c r="Q17" s="227"/>
      <c r="R17" s="227"/>
      <c r="S17" s="227"/>
      <c r="T17" s="49"/>
      <c r="U17" s="294"/>
      <c r="V17" s="47"/>
    </row>
    <row r="18" spans="2:22" ht="15.75" x14ac:dyDescent="0.25">
      <c r="B18" s="4"/>
      <c r="C18" s="5"/>
      <c r="E18" s="42"/>
      <c r="F18" s="227"/>
      <c r="G18" s="382" t="s">
        <v>427</v>
      </c>
      <c r="H18" s="382"/>
      <c r="I18" s="382"/>
      <c r="J18" s="382"/>
      <c r="K18" s="382"/>
      <c r="L18" s="231"/>
      <c r="M18" s="227"/>
      <c r="N18" s="227"/>
      <c r="O18" s="382" t="s">
        <v>56</v>
      </c>
      <c r="P18" s="382"/>
      <c r="Q18" s="382"/>
      <c r="R18" s="382"/>
      <c r="S18" s="382"/>
      <c r="T18" s="338">
        <f>IF('Graph Calculations'!AB12&gt;$K$15,$K$15,'Graph Calculations'!AB12)</f>
        <v>65.775803892354674</v>
      </c>
      <c r="U18" s="339" t="s">
        <v>6</v>
      </c>
      <c r="V18" s="47"/>
    </row>
    <row r="19" spans="2:22" ht="15.75" x14ac:dyDescent="0.25">
      <c r="B19" s="4"/>
      <c r="C19" s="5"/>
      <c r="E19" s="42"/>
      <c r="F19" s="227"/>
      <c r="G19" s="374" t="s">
        <v>19</v>
      </c>
      <c r="H19" s="374"/>
      <c r="I19" s="374"/>
      <c r="J19" s="374"/>
      <c r="K19" s="336">
        <f>'Stage 2'!K46</f>
        <v>4.7974221873437868</v>
      </c>
      <c r="L19" s="335" t="s">
        <v>35</v>
      </c>
      <c r="M19" s="227"/>
      <c r="N19" s="227"/>
      <c r="O19" s="49"/>
      <c r="P19" s="227"/>
      <c r="Q19" s="227"/>
      <c r="R19" s="227"/>
      <c r="S19" s="330"/>
      <c r="T19" s="227"/>
      <c r="U19" s="294"/>
      <c r="V19" s="47"/>
    </row>
    <row r="20" spans="2:22" ht="15.75" x14ac:dyDescent="0.25">
      <c r="B20" s="4"/>
      <c r="C20" s="5"/>
      <c r="E20" s="42"/>
      <c r="F20" s="227"/>
      <c r="G20" s="374" t="s">
        <v>428</v>
      </c>
      <c r="H20" s="374"/>
      <c r="I20" s="374"/>
      <c r="J20" s="374"/>
      <c r="K20" s="336">
        <f>'Stage 2'!K48</f>
        <v>30.518342152301855</v>
      </c>
      <c r="L20" s="335" t="s">
        <v>35</v>
      </c>
      <c r="M20" s="227"/>
      <c r="N20" s="227"/>
      <c r="O20" s="374" t="s">
        <v>424</v>
      </c>
      <c r="P20" s="374"/>
      <c r="Q20" s="374"/>
      <c r="R20" s="374"/>
      <c r="S20" s="374"/>
      <c r="T20" s="336">
        <f>-(INTERCEPT('Graph Calculations'!F26:Z26,'Graph Calculations'!F17:Z17))/(SLOPE('Graph Calculations'!F26:Z26,'Graph Calculations'!F17:Z17))</f>
        <v>99.211856639553758</v>
      </c>
      <c r="U20" s="294" t="s">
        <v>55</v>
      </c>
      <c r="V20" s="47"/>
    </row>
    <row r="21" spans="2:22" ht="15.75" x14ac:dyDescent="0.25">
      <c r="B21" s="4"/>
      <c r="C21" s="5"/>
      <c r="E21" s="42"/>
      <c r="F21" s="227"/>
      <c r="G21" s="49"/>
      <c r="H21" s="227"/>
      <c r="I21" s="227"/>
      <c r="J21" s="227"/>
      <c r="K21" s="49"/>
      <c r="L21" s="231"/>
      <c r="M21" s="227"/>
      <c r="N21" s="227"/>
      <c r="O21" s="374" t="s">
        <v>425</v>
      </c>
      <c r="P21" s="374"/>
      <c r="Q21" s="374"/>
      <c r="R21" s="374"/>
      <c r="S21" s="374"/>
      <c r="T21" s="336">
        <f>-'Graph Calculations'!AB23</f>
        <v>30.084085421550473</v>
      </c>
      <c r="U21" s="337" t="s">
        <v>35</v>
      </c>
      <c r="V21" s="47"/>
    </row>
    <row r="22" spans="2:22" ht="15.75" x14ac:dyDescent="0.25">
      <c r="B22" s="4"/>
      <c r="C22" s="5"/>
      <c r="E22" s="42"/>
      <c r="F22" s="227"/>
      <c r="G22" s="382" t="s">
        <v>426</v>
      </c>
      <c r="H22" s="382"/>
      <c r="I22" s="382"/>
      <c r="J22" s="382"/>
      <c r="K22" s="382"/>
      <c r="L22" s="231"/>
      <c r="M22" s="227"/>
      <c r="N22" s="227"/>
      <c r="O22" s="49"/>
      <c r="P22" s="227"/>
      <c r="Q22" s="227"/>
      <c r="R22" s="227"/>
      <c r="S22" s="227"/>
      <c r="T22" s="49"/>
      <c r="U22" s="227"/>
      <c r="V22" s="47"/>
    </row>
    <row r="23" spans="2:22" ht="2.1" customHeight="1" x14ac:dyDescent="0.25">
      <c r="B23" s="4"/>
      <c r="C23" s="5"/>
      <c r="E23" s="42"/>
      <c r="F23" s="227"/>
      <c r="G23" s="49"/>
      <c r="H23" s="227"/>
      <c r="I23" s="227"/>
      <c r="J23" s="227"/>
      <c r="K23" s="49"/>
      <c r="L23" s="231"/>
      <c r="M23" s="227"/>
      <c r="N23" s="227"/>
      <c r="O23" s="226"/>
      <c r="P23" s="226"/>
      <c r="Q23" s="226"/>
      <c r="R23" s="226"/>
      <c r="S23" s="226"/>
      <c r="T23" s="226"/>
      <c r="U23" s="226"/>
      <c r="V23" s="47"/>
    </row>
    <row r="24" spans="2:22" ht="15.75" x14ac:dyDescent="0.25">
      <c r="B24" s="4"/>
      <c r="C24" s="5"/>
      <c r="E24" s="42"/>
      <c r="F24" s="227"/>
      <c r="G24" s="374" t="s">
        <v>429</v>
      </c>
      <c r="H24" s="374"/>
      <c r="I24" s="374"/>
      <c r="J24" s="374"/>
      <c r="K24" s="336">
        <f>'Stage 4'!K12</f>
        <v>74.619260099999991</v>
      </c>
      <c r="L24" s="335" t="s">
        <v>35</v>
      </c>
      <c r="M24" s="227"/>
      <c r="N24" s="227"/>
      <c r="O24" s="382" t="s">
        <v>56</v>
      </c>
      <c r="P24" s="382"/>
      <c r="Q24" s="382"/>
      <c r="R24" s="382"/>
      <c r="S24" s="382"/>
      <c r="T24" s="338">
        <f>IF('Graph Calculations'!AB24&gt;$K$15,$K$15,'Graph Calculations'!AB24)</f>
        <v>8.6695769649085985</v>
      </c>
      <c r="U24" s="339" t="s">
        <v>6</v>
      </c>
      <c r="V24" s="47"/>
    </row>
    <row r="25" spans="2:22" ht="15.75" x14ac:dyDescent="0.25">
      <c r="B25" s="4"/>
      <c r="C25" s="5"/>
      <c r="E25" s="42"/>
      <c r="F25" s="227"/>
      <c r="G25" s="374" t="s">
        <v>26</v>
      </c>
      <c r="H25" s="374"/>
      <c r="I25" s="374"/>
      <c r="J25" s="374"/>
      <c r="K25" s="336">
        <f>'Stage 3'!K36</f>
        <v>4.1480258813173441</v>
      </c>
      <c r="L25" s="335" t="s">
        <v>35</v>
      </c>
      <c r="M25" s="227"/>
      <c r="N25" s="227"/>
      <c r="O25" s="227"/>
      <c r="P25" s="227"/>
      <c r="Q25" s="227"/>
      <c r="R25" s="227"/>
      <c r="S25" s="227"/>
      <c r="T25" s="227"/>
      <c r="U25" s="227"/>
      <c r="V25" s="47"/>
    </row>
    <row r="26" spans="2:22" ht="15.75" x14ac:dyDescent="0.25">
      <c r="B26" s="4"/>
      <c r="C26" s="5"/>
      <c r="E26" s="42"/>
      <c r="F26" s="227"/>
      <c r="G26" s="374" t="s">
        <v>430</v>
      </c>
      <c r="H26" s="374"/>
      <c r="I26" s="374"/>
      <c r="J26" s="374"/>
      <c r="K26" s="336">
        <f>'Stage 1'!U63</f>
        <v>2072.7572249999998</v>
      </c>
      <c r="L26" s="335" t="s">
        <v>35</v>
      </c>
      <c r="M26" s="227"/>
      <c r="N26" s="227"/>
      <c r="O26" s="227"/>
      <c r="P26" s="227"/>
      <c r="Q26" s="227"/>
      <c r="R26" s="227"/>
      <c r="S26" s="227"/>
      <c r="T26" s="227"/>
      <c r="U26" s="227"/>
      <c r="V26" s="47"/>
    </row>
    <row r="27" spans="2:22" ht="15.75" x14ac:dyDescent="0.25">
      <c r="B27" s="4"/>
      <c r="C27" s="5"/>
      <c r="E27" s="42"/>
      <c r="F27" s="227"/>
      <c r="G27" s="374" t="s">
        <v>406</v>
      </c>
      <c r="H27" s="374"/>
      <c r="I27" s="374"/>
      <c r="J27" s="374"/>
      <c r="K27" s="336">
        <f>'Stage 3'!K38</f>
        <v>43.39181438805349</v>
      </c>
      <c r="L27" s="335" t="s">
        <v>35</v>
      </c>
      <c r="M27" s="227"/>
      <c r="N27" s="227"/>
      <c r="O27" s="227"/>
      <c r="P27" s="227"/>
      <c r="Q27" s="227"/>
      <c r="R27" s="227"/>
      <c r="S27" s="227"/>
      <c r="T27" s="227"/>
      <c r="U27" s="227"/>
      <c r="V27" s="47"/>
    </row>
    <row r="28" spans="2:22" ht="15.75" x14ac:dyDescent="0.25">
      <c r="B28" s="4"/>
      <c r="C28" s="5"/>
      <c r="E28" s="42"/>
      <c r="F28" s="227"/>
      <c r="G28" s="227"/>
      <c r="H28" s="227"/>
      <c r="I28" s="227"/>
      <c r="J28" s="227"/>
      <c r="K28" s="330"/>
      <c r="L28" s="330"/>
      <c r="M28" s="227"/>
      <c r="N28" s="227"/>
      <c r="O28" s="227"/>
      <c r="P28" s="227"/>
      <c r="Q28" s="227"/>
      <c r="R28" s="227"/>
      <c r="S28" s="227"/>
      <c r="T28" s="227"/>
      <c r="U28" s="227"/>
      <c r="V28" s="47"/>
    </row>
    <row r="29" spans="2:22" ht="15.75" x14ac:dyDescent="0.25">
      <c r="B29" s="4"/>
      <c r="C29" s="5"/>
      <c r="E29" s="42"/>
      <c r="F29" s="227"/>
      <c r="G29" s="227"/>
      <c r="H29" s="227"/>
      <c r="I29" s="227"/>
      <c r="J29" s="227"/>
      <c r="K29" s="227"/>
      <c r="L29" s="227"/>
      <c r="M29" s="227"/>
      <c r="N29" s="227"/>
      <c r="O29" s="230"/>
      <c r="P29" s="227"/>
      <c r="Q29" s="227"/>
      <c r="R29" s="227"/>
      <c r="S29" s="227"/>
      <c r="T29" s="227"/>
      <c r="U29" s="227"/>
      <c r="V29" s="47"/>
    </row>
    <row r="30" spans="2:22" ht="6" customHeight="1" x14ac:dyDescent="0.25">
      <c r="B30" s="4"/>
      <c r="C30" s="5"/>
      <c r="E30" s="42"/>
      <c r="F30" s="227"/>
      <c r="G30" s="227"/>
      <c r="H30" s="227"/>
      <c r="I30" s="227"/>
      <c r="J30" s="227"/>
      <c r="K30" s="227"/>
      <c r="L30" s="227"/>
      <c r="M30" s="227"/>
      <c r="N30" s="227"/>
      <c r="O30" s="227"/>
      <c r="P30" s="227"/>
      <c r="Q30" s="227"/>
      <c r="R30" s="227"/>
      <c r="S30" s="227"/>
      <c r="T30" s="227"/>
      <c r="U30" s="227"/>
      <c r="V30" s="47"/>
    </row>
    <row r="31" spans="2:22" ht="15.95" customHeight="1" x14ac:dyDescent="0.25">
      <c r="B31" s="4"/>
      <c r="C31" s="5"/>
      <c r="E31" s="42"/>
      <c r="F31" s="227"/>
      <c r="G31" s="227"/>
      <c r="H31" s="227"/>
      <c r="I31" s="227"/>
      <c r="J31" s="227"/>
      <c r="K31" s="227"/>
      <c r="L31" s="227"/>
      <c r="M31" s="227"/>
      <c r="N31" s="227"/>
      <c r="O31" s="227"/>
      <c r="P31" s="227"/>
      <c r="Q31" s="227"/>
      <c r="R31" s="227"/>
      <c r="S31" s="227"/>
      <c r="T31" s="227"/>
      <c r="U31" s="227"/>
      <c r="V31" s="47"/>
    </row>
    <row r="32" spans="2:22" ht="15" customHeight="1" x14ac:dyDescent="0.25">
      <c r="B32" s="4"/>
      <c r="C32" s="5"/>
      <c r="E32" s="42"/>
      <c r="F32" s="227"/>
      <c r="G32" s="227"/>
      <c r="H32" s="227"/>
      <c r="I32" s="227"/>
      <c r="J32" s="227"/>
      <c r="K32" s="330"/>
      <c r="L32" s="330"/>
      <c r="M32" s="227"/>
      <c r="N32" s="227"/>
      <c r="O32" s="227"/>
      <c r="P32" s="227"/>
      <c r="Q32" s="227"/>
      <c r="R32" s="227"/>
      <c r="S32" s="330"/>
      <c r="T32" s="330"/>
      <c r="U32" s="227"/>
      <c r="V32" s="47"/>
    </row>
    <row r="33" spans="2:22" ht="15.75" x14ac:dyDescent="0.25">
      <c r="B33" s="4"/>
      <c r="C33" s="5"/>
      <c r="D33" t="s">
        <v>28</v>
      </c>
      <c r="E33" s="42"/>
      <c r="F33" s="227"/>
      <c r="G33" s="227"/>
      <c r="H33" s="227"/>
      <c r="I33" s="227"/>
      <c r="J33" s="227"/>
      <c r="K33" s="330"/>
      <c r="L33" s="330"/>
      <c r="M33" s="227"/>
      <c r="N33" s="227"/>
      <c r="O33" s="227"/>
      <c r="P33" s="227"/>
      <c r="Q33" s="227"/>
      <c r="R33" s="227"/>
      <c r="S33" s="330"/>
      <c r="T33" s="330"/>
      <c r="U33" s="227"/>
      <c r="V33" s="47"/>
    </row>
    <row r="34" spans="2:22" ht="12.6" customHeight="1" x14ac:dyDescent="0.25">
      <c r="B34" s="4"/>
      <c r="C34" s="5"/>
      <c r="E34" s="42"/>
      <c r="F34" s="227"/>
      <c r="G34" s="227"/>
      <c r="H34" s="227"/>
      <c r="I34" s="227"/>
      <c r="J34" s="227"/>
      <c r="K34" s="227"/>
      <c r="L34" s="227"/>
      <c r="M34" s="227"/>
      <c r="N34" s="227"/>
      <c r="O34" s="227"/>
      <c r="P34" s="227"/>
      <c r="Q34" s="227"/>
      <c r="R34" s="227"/>
      <c r="S34" s="227"/>
      <c r="T34" s="227"/>
      <c r="U34" s="227"/>
      <c r="V34" s="47"/>
    </row>
    <row r="35" spans="2:22" ht="23.45" customHeight="1" x14ac:dyDescent="0.25">
      <c r="B35" s="4"/>
      <c r="C35" s="5"/>
      <c r="D35" t="s">
        <v>70</v>
      </c>
      <c r="E35" s="42"/>
      <c r="F35" s="227"/>
      <c r="G35" s="230"/>
      <c r="H35" s="227"/>
      <c r="I35" s="227"/>
      <c r="J35" s="227"/>
      <c r="K35" s="330"/>
      <c r="L35" s="330"/>
      <c r="M35" s="227"/>
      <c r="N35" s="227"/>
      <c r="O35" s="227"/>
      <c r="P35" s="227"/>
      <c r="Q35" s="227"/>
      <c r="R35" s="227"/>
      <c r="S35" s="330"/>
      <c r="T35" s="330"/>
      <c r="U35" s="227"/>
      <c r="V35" s="47"/>
    </row>
    <row r="36" spans="2:22" ht="1.5" customHeight="1" x14ac:dyDescent="0.25">
      <c r="B36" s="4"/>
      <c r="C36" s="5"/>
      <c r="E36" s="42"/>
      <c r="F36" s="227"/>
      <c r="G36" s="227"/>
      <c r="H36" s="227"/>
      <c r="I36" s="227"/>
      <c r="J36" s="227"/>
      <c r="K36" s="227"/>
      <c r="L36" s="227"/>
      <c r="M36" s="227"/>
      <c r="N36" s="227"/>
      <c r="O36" s="227"/>
      <c r="P36" s="227"/>
      <c r="Q36" s="227"/>
      <c r="R36" s="227"/>
      <c r="S36" s="227"/>
      <c r="T36" s="227"/>
      <c r="U36" s="227"/>
      <c r="V36" s="47"/>
    </row>
    <row r="37" spans="2:22" ht="15.75" x14ac:dyDescent="0.25">
      <c r="B37" s="4"/>
      <c r="C37" s="5"/>
      <c r="D37" t="s">
        <v>71</v>
      </c>
      <c r="E37" s="42"/>
      <c r="F37" s="227"/>
      <c r="G37" s="227"/>
      <c r="H37" s="227"/>
      <c r="I37" s="227"/>
      <c r="J37" s="227"/>
      <c r="K37" s="227"/>
      <c r="L37" s="227"/>
      <c r="M37" s="227"/>
      <c r="N37" s="227"/>
      <c r="O37" s="227"/>
      <c r="P37" s="227"/>
      <c r="Q37" s="227"/>
      <c r="R37" s="227"/>
      <c r="S37" s="227"/>
      <c r="T37" s="227"/>
      <c r="U37" s="227"/>
      <c r="V37" s="47"/>
    </row>
    <row r="38" spans="2:22" ht="15.75" x14ac:dyDescent="0.25">
      <c r="B38" s="4"/>
      <c r="C38" s="5"/>
      <c r="E38" s="53"/>
      <c r="F38" s="278"/>
      <c r="G38" s="278"/>
      <c r="H38" s="227"/>
      <c r="I38" s="227"/>
      <c r="J38" s="227"/>
      <c r="K38" s="227"/>
      <c r="L38" s="227"/>
      <c r="M38" s="227"/>
      <c r="N38" s="227"/>
      <c r="O38" s="227"/>
      <c r="P38" s="227"/>
      <c r="Q38" s="227"/>
      <c r="R38" s="227"/>
      <c r="S38" s="227"/>
      <c r="T38" s="227"/>
      <c r="U38" s="227"/>
      <c r="V38" s="47"/>
    </row>
    <row r="39" spans="2:22" ht="6.6" customHeight="1" x14ac:dyDescent="0.25">
      <c r="B39" s="4"/>
      <c r="C39" s="5"/>
      <c r="E39" s="42"/>
      <c r="F39" s="227"/>
      <c r="G39" s="227"/>
      <c r="H39" s="227"/>
      <c r="I39" s="227"/>
      <c r="J39" s="227"/>
      <c r="K39" s="227"/>
      <c r="L39" s="227"/>
      <c r="M39" s="227"/>
      <c r="N39" s="227"/>
      <c r="O39" s="227"/>
      <c r="P39" s="227"/>
      <c r="Q39" s="227"/>
      <c r="R39" s="227"/>
      <c r="S39" s="227"/>
      <c r="T39" s="227"/>
      <c r="U39" s="227"/>
      <c r="V39" s="47"/>
    </row>
    <row r="40" spans="2:22" ht="15.75" x14ac:dyDescent="0.25">
      <c r="B40" s="4"/>
      <c r="C40" s="5"/>
      <c r="E40" s="42"/>
      <c r="F40" s="227"/>
      <c r="G40" s="227"/>
      <c r="H40" s="227"/>
      <c r="I40" s="227"/>
      <c r="J40" s="227"/>
      <c r="K40" s="227"/>
      <c r="L40" s="227"/>
      <c r="M40" s="227"/>
      <c r="N40" s="227"/>
      <c r="O40" s="227"/>
      <c r="P40" s="227"/>
      <c r="Q40" s="227"/>
      <c r="R40" s="227"/>
      <c r="S40" s="227"/>
      <c r="T40" s="227"/>
      <c r="U40" s="227"/>
      <c r="V40" s="47"/>
    </row>
    <row r="41" spans="2:22" ht="15.75" x14ac:dyDescent="0.25">
      <c r="B41" s="4"/>
      <c r="C41" s="5"/>
      <c r="E41" s="42"/>
      <c r="F41" s="227"/>
      <c r="G41" s="230"/>
      <c r="H41" s="227"/>
      <c r="I41" s="227"/>
      <c r="J41" s="227"/>
      <c r="K41" s="227"/>
      <c r="L41" s="227"/>
      <c r="M41" s="227"/>
      <c r="N41" s="227"/>
      <c r="O41" s="227"/>
      <c r="P41" s="227"/>
      <c r="Q41" s="227"/>
      <c r="R41" s="227"/>
      <c r="S41" s="227"/>
      <c r="T41" s="227"/>
      <c r="U41" s="227"/>
      <c r="V41" s="47"/>
    </row>
    <row r="42" spans="2:22" ht="15.75" x14ac:dyDescent="0.25">
      <c r="B42" s="4"/>
      <c r="C42" s="5"/>
      <c r="E42" s="42"/>
      <c r="F42" s="227"/>
      <c r="G42" s="227"/>
      <c r="H42" s="227"/>
      <c r="I42" s="227"/>
      <c r="J42" s="227"/>
      <c r="K42" s="227"/>
      <c r="L42" s="227"/>
      <c r="M42" s="227"/>
      <c r="N42" s="227"/>
      <c r="O42" s="227"/>
      <c r="P42" s="227"/>
      <c r="Q42" s="227"/>
      <c r="R42" s="227"/>
      <c r="S42" s="227"/>
      <c r="T42" s="227"/>
      <c r="U42" s="227"/>
      <c r="V42" s="47"/>
    </row>
    <row r="43" spans="2:22" ht="12.6" customHeight="1" x14ac:dyDescent="0.25">
      <c r="B43" s="4"/>
      <c r="C43" s="5"/>
      <c r="E43" s="42"/>
      <c r="F43" s="227"/>
      <c r="G43" s="227"/>
      <c r="H43" s="227"/>
      <c r="I43" s="227"/>
      <c r="J43" s="227"/>
      <c r="K43" s="227"/>
      <c r="L43" s="227"/>
      <c r="M43" s="227"/>
      <c r="N43" s="227"/>
      <c r="O43" s="227"/>
      <c r="P43" s="227"/>
      <c r="Q43" s="227"/>
      <c r="R43" s="227"/>
      <c r="S43" s="227"/>
      <c r="T43" s="227"/>
      <c r="U43" s="227"/>
      <c r="V43" s="47"/>
    </row>
    <row r="44" spans="2:22" ht="35.450000000000003" customHeight="1" x14ac:dyDescent="0.25">
      <c r="B44" s="4"/>
      <c r="C44" s="5"/>
      <c r="E44" s="42"/>
      <c r="F44" s="227"/>
      <c r="G44" s="227"/>
      <c r="H44" s="227"/>
      <c r="I44" s="227"/>
      <c r="J44" s="227"/>
      <c r="K44" s="227"/>
      <c r="L44" s="227"/>
      <c r="M44" s="227"/>
      <c r="N44" s="227"/>
      <c r="O44" s="227"/>
      <c r="P44" s="227"/>
      <c r="Q44" s="227"/>
      <c r="R44" s="227"/>
      <c r="S44" s="227"/>
      <c r="T44" s="227"/>
      <c r="U44" s="227"/>
      <c r="V44" s="47"/>
    </row>
    <row r="45" spans="2:22" ht="12.95" customHeight="1" x14ac:dyDescent="0.25">
      <c r="B45" s="4"/>
      <c r="C45" s="5"/>
      <c r="E45" s="42"/>
      <c r="F45" s="227"/>
      <c r="G45" s="227"/>
      <c r="H45" s="227"/>
      <c r="I45" s="227"/>
      <c r="J45" s="227"/>
      <c r="K45" s="227"/>
      <c r="L45" s="227"/>
      <c r="M45" s="227"/>
      <c r="N45" s="227"/>
      <c r="O45" s="227"/>
      <c r="P45" s="227"/>
      <c r="Q45" s="227"/>
      <c r="R45" s="227"/>
      <c r="S45" s="227"/>
      <c r="T45" s="227"/>
      <c r="U45" s="227"/>
      <c r="V45" s="47"/>
    </row>
    <row r="46" spans="2:22" ht="12.95" customHeight="1" x14ac:dyDescent="0.25">
      <c r="B46" s="4"/>
      <c r="C46" s="5"/>
      <c r="E46" s="42"/>
      <c r="F46" s="227"/>
      <c r="G46" s="227"/>
      <c r="H46" s="227"/>
      <c r="I46" s="227"/>
      <c r="J46" s="227"/>
      <c r="K46" s="227"/>
      <c r="L46" s="227"/>
      <c r="M46" s="227"/>
      <c r="N46" s="227"/>
      <c r="O46" s="227"/>
      <c r="P46" s="227"/>
      <c r="Q46" s="227"/>
      <c r="R46" s="227"/>
      <c r="S46" s="227"/>
      <c r="T46" s="227"/>
      <c r="U46" s="227"/>
      <c r="V46" s="47"/>
    </row>
    <row r="47" spans="2:22" ht="35.450000000000003" customHeight="1" x14ac:dyDescent="0.25">
      <c r="B47" s="4"/>
      <c r="C47" s="5"/>
      <c r="E47" s="42"/>
      <c r="F47" s="227"/>
      <c r="G47" s="227"/>
      <c r="H47" s="227"/>
      <c r="I47" s="227"/>
      <c r="J47" s="227"/>
      <c r="K47" s="227"/>
      <c r="L47" s="227"/>
      <c r="M47" s="227"/>
      <c r="N47" s="227"/>
      <c r="O47" s="227"/>
      <c r="P47" s="227"/>
      <c r="Q47" s="227"/>
      <c r="R47" s="227"/>
      <c r="S47" s="227"/>
      <c r="T47" s="227"/>
      <c r="U47" s="227"/>
      <c r="V47" s="47"/>
    </row>
    <row r="48" spans="2:22" ht="35.450000000000003" customHeight="1" x14ac:dyDescent="0.25">
      <c r="B48" s="4"/>
      <c r="C48" s="5"/>
      <c r="E48" s="42"/>
      <c r="F48" s="227"/>
      <c r="G48" s="227"/>
      <c r="H48" s="227"/>
      <c r="I48" s="227"/>
      <c r="J48" s="227"/>
      <c r="K48" s="227"/>
      <c r="L48" s="227"/>
      <c r="M48" s="227"/>
      <c r="N48" s="227"/>
      <c r="O48" s="227"/>
      <c r="P48" s="227"/>
      <c r="Q48" s="227"/>
      <c r="R48" s="227"/>
      <c r="S48" s="227"/>
      <c r="T48" s="227"/>
      <c r="U48" s="227"/>
      <c r="V48" s="47"/>
    </row>
    <row r="49" spans="2:22" ht="35.450000000000003" customHeight="1" x14ac:dyDescent="0.25">
      <c r="B49" s="4"/>
      <c r="C49" s="5"/>
      <c r="E49" s="42"/>
      <c r="F49" s="227"/>
      <c r="G49" s="227"/>
      <c r="H49" s="227"/>
      <c r="I49" s="227"/>
      <c r="J49" s="227"/>
      <c r="K49" s="227"/>
      <c r="L49" s="227"/>
      <c r="M49" s="227"/>
      <c r="N49" s="227"/>
      <c r="O49" s="227"/>
      <c r="P49" s="227"/>
      <c r="Q49" s="227"/>
      <c r="R49" s="227"/>
      <c r="S49" s="227"/>
      <c r="T49" s="227"/>
      <c r="U49" s="227"/>
      <c r="V49" s="47"/>
    </row>
    <row r="50" spans="2:22" ht="35.450000000000003" customHeight="1" x14ac:dyDescent="0.25">
      <c r="B50" s="4"/>
      <c r="C50" s="5"/>
      <c r="E50" s="42"/>
      <c r="F50" s="227"/>
      <c r="G50" s="227"/>
      <c r="H50" s="227"/>
      <c r="I50" s="227"/>
      <c r="J50" s="227"/>
      <c r="K50" s="227"/>
      <c r="L50" s="227"/>
      <c r="M50" s="227"/>
      <c r="N50" s="227"/>
      <c r="O50" s="227"/>
      <c r="P50" s="227"/>
      <c r="Q50" s="227"/>
      <c r="R50" s="227"/>
      <c r="S50" s="227"/>
      <c r="T50" s="227"/>
      <c r="U50" s="227"/>
      <c r="V50" s="47"/>
    </row>
    <row r="51" spans="2:22" ht="35.450000000000003" customHeight="1" x14ac:dyDescent="0.25">
      <c r="B51" s="4"/>
      <c r="C51" s="5"/>
      <c r="E51" s="42"/>
      <c r="F51" s="227"/>
      <c r="G51" s="227"/>
      <c r="H51" s="227"/>
      <c r="I51" s="227"/>
      <c r="J51" s="227"/>
      <c r="K51" s="227"/>
      <c r="L51" s="227"/>
      <c r="M51" s="227"/>
      <c r="N51" s="227"/>
      <c r="O51" s="227"/>
      <c r="P51" s="227"/>
      <c r="Q51" s="227"/>
      <c r="R51" s="227"/>
      <c r="S51" s="227"/>
      <c r="T51" s="227"/>
      <c r="U51" s="227"/>
      <c r="V51" s="47"/>
    </row>
    <row r="52" spans="2:22" ht="35.450000000000003" customHeight="1" x14ac:dyDescent="0.25">
      <c r="B52" s="4"/>
      <c r="C52" s="5"/>
      <c r="E52" s="42"/>
      <c r="F52" s="227"/>
      <c r="G52" s="227"/>
      <c r="H52" s="227"/>
      <c r="I52" s="227"/>
      <c r="J52" s="227"/>
      <c r="K52" s="227"/>
      <c r="L52" s="227"/>
      <c r="M52" s="227"/>
      <c r="N52" s="227"/>
      <c r="O52" s="227"/>
      <c r="P52" s="227"/>
      <c r="Q52" s="227"/>
      <c r="R52" s="227"/>
      <c r="S52" s="227"/>
      <c r="T52" s="227"/>
      <c r="U52" s="227"/>
      <c r="V52" s="47"/>
    </row>
    <row r="53" spans="2:22" ht="35.450000000000003" customHeight="1" x14ac:dyDescent="0.25">
      <c r="B53" s="4"/>
      <c r="C53" s="5"/>
      <c r="E53" s="42"/>
      <c r="F53" s="227"/>
      <c r="G53" s="227"/>
      <c r="H53" s="227"/>
      <c r="I53" s="227"/>
      <c r="J53" s="227"/>
      <c r="K53" s="227"/>
      <c r="L53" s="227"/>
      <c r="M53" s="227"/>
      <c r="N53" s="227"/>
      <c r="O53" s="227"/>
      <c r="P53" s="227"/>
      <c r="Q53" s="227"/>
      <c r="R53" s="227"/>
      <c r="S53" s="227"/>
      <c r="T53" s="227"/>
      <c r="U53" s="227"/>
      <c r="V53" s="47"/>
    </row>
    <row r="54" spans="2:22" ht="19.5" customHeight="1" thickBot="1" x14ac:dyDescent="0.25">
      <c r="B54" s="7"/>
      <c r="C54" s="8"/>
      <c r="D54" s="36"/>
      <c r="E54" s="51"/>
      <c r="F54" s="51"/>
      <c r="G54" s="51"/>
      <c r="H54" s="58"/>
      <c r="I54" s="51"/>
      <c r="J54" s="51"/>
      <c r="K54" s="51"/>
      <c r="L54" s="51"/>
      <c r="M54" s="51"/>
      <c r="N54" s="51"/>
      <c r="O54" s="51"/>
      <c r="P54" s="51"/>
      <c r="Q54" s="51"/>
      <c r="R54" s="51"/>
      <c r="S54" s="51"/>
      <c r="T54" s="51"/>
      <c r="U54" s="51"/>
      <c r="V54" s="52"/>
    </row>
    <row r="69" spans="10:18" x14ac:dyDescent="0.2">
      <c r="J69" s="16"/>
      <c r="K69" s="16"/>
      <c r="L69" s="16"/>
      <c r="M69" s="16"/>
      <c r="N69" s="16"/>
      <c r="O69" s="16"/>
      <c r="P69" s="16"/>
      <c r="Q69" s="16"/>
      <c r="R69" s="16"/>
    </row>
  </sheetData>
  <sheetProtection algorithmName="SHA-512" hashValue="Xr1zlvxEM9GGKyAIo5Wxh6SaqTLn86HsaHKikhVsKwH35CzGaawfmyG0jK7SRUeHLZc6Hhoovix1hjgQABSPVQ==" saltValue="Mhhi51IKFh9XWmEwXxrTYA==" spinCount="100000" sheet="1" objects="1" scenarios="1" selectLockedCells="1"/>
  <dataConsolidate/>
  <mergeCells count="22">
    <mergeCell ref="G26:J26"/>
    <mergeCell ref="G27:J27"/>
    <mergeCell ref="G25:J25"/>
    <mergeCell ref="O15:S15"/>
    <mergeCell ref="O16:S16"/>
    <mergeCell ref="O18:S18"/>
    <mergeCell ref="G15:J15"/>
    <mergeCell ref="G16:J16"/>
    <mergeCell ref="G18:K18"/>
    <mergeCell ref="G19:J19"/>
    <mergeCell ref="G22:K22"/>
    <mergeCell ref="G24:J24"/>
    <mergeCell ref="O20:S20"/>
    <mergeCell ref="O21:S21"/>
    <mergeCell ref="O24:S24"/>
    <mergeCell ref="G20:J20"/>
    <mergeCell ref="F3:U3"/>
    <mergeCell ref="G5:U6"/>
    <mergeCell ref="G7:U9"/>
    <mergeCell ref="G13:L13"/>
    <mergeCell ref="O13:U13"/>
    <mergeCell ref="G10:U10"/>
  </mergeCells>
  <conditionalFormatting sqref="G5:U6">
    <cfRule type="containsText" dxfId="51" priority="1" operator="containsText" text="not">
      <formula>NOT(ISERROR(SEARCH("not",G5)))</formula>
    </cfRule>
    <cfRule type="containsText" dxfId="50" priority="2" operator="containsText" text="has">
      <formula>NOT(ISERROR(SEARCH("has",G5)))</formula>
    </cfRule>
  </conditionalFormatting>
  <dataValidations count="1">
    <dataValidation type="list" allowBlank="1" showInputMessage="1" showErrorMessage="1" sqref="G11" xr:uid="{7A567102-E55A-4687-A786-44C8EC9C72E5}">
      <formula1>"House, Hotel / quest house"</formula1>
    </dataValidation>
  </dataValidations>
  <pageMargins left="0.70866141732283472" right="0.70866141732283472" top="0.74803149606299213" bottom="0.74803149606299213" header="0.31496062992125984" footer="0.31496062992125984"/>
  <pageSetup paperSize="9" scale="58" orientation="landscape" horizontalDpi="360" verticalDpi="360" r:id="rId1"/>
  <headerFooter>
    <oddHeader>&amp;LPhosphate Budget Calculator&amp;CStage 4</oddHeader>
    <oddFooter>&amp;LVersion 2.2&amp;R&amp;D</oddFooter>
  </headerFooter>
  <customProperties>
    <customPr name="SSC_SHEET_GU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18237-27E1-4B8C-80DC-748C21B6732C}">
  <sheetPr>
    <tabColor theme="5" tint="0.79998168889431442"/>
    <pageSetUpPr fitToPage="1"/>
  </sheetPr>
  <dimension ref="B1:AB67"/>
  <sheetViews>
    <sheetView topLeftCell="B1" zoomScale="115" zoomScaleNormal="115" workbookViewId="0">
      <selection activeCell="O18" sqref="O18"/>
    </sheetView>
  </sheetViews>
  <sheetFormatPr defaultRowHeight="12.75" x14ac:dyDescent="0.2"/>
  <cols>
    <col min="2" max="3" width="0.85546875" customWidth="1"/>
    <col min="4" max="4" width="6.42578125" hidden="1" customWidth="1"/>
    <col min="5" max="5" width="30.5703125" customWidth="1"/>
    <col min="6" max="6" width="8" customWidth="1"/>
    <col min="7" max="7" width="8.28515625" customWidth="1"/>
    <col min="8" max="8" width="7" customWidth="1"/>
    <col min="9" max="9" width="9.140625" customWidth="1"/>
    <col min="10" max="10" width="6.5703125" customWidth="1"/>
    <col min="11" max="11" width="7.42578125" customWidth="1"/>
    <col min="12" max="12" width="7.85546875" customWidth="1"/>
    <col min="13" max="13" width="7.42578125" customWidth="1"/>
    <col min="14" max="14" width="7.85546875" customWidth="1"/>
    <col min="15" max="15" width="6.85546875" customWidth="1"/>
    <col min="16" max="16" width="7.5703125" customWidth="1"/>
    <col min="17" max="17" width="8.140625" customWidth="1"/>
    <col min="18" max="18" width="7.42578125" customWidth="1"/>
    <col min="19" max="19" width="7.5703125" customWidth="1"/>
    <col min="20" max="21" width="7.140625" customWidth="1"/>
    <col min="22" max="22" width="8.42578125" customWidth="1"/>
    <col min="23" max="23" width="9.5703125" customWidth="1"/>
    <col min="24" max="24" width="7.42578125" customWidth="1"/>
    <col min="25" max="25" width="8.42578125" customWidth="1"/>
    <col min="26" max="26" width="8" customWidth="1"/>
    <col min="27" max="27" width="3.85546875" customWidth="1"/>
    <col min="28" max="28" width="17.140625" customWidth="1"/>
  </cols>
  <sheetData>
    <row r="1" spans="2:28" ht="13.5" thickBot="1" x14ac:dyDescent="0.25"/>
    <row r="2" spans="2:28" ht="3.6" customHeight="1" x14ac:dyDescent="0.2">
      <c r="B2" s="1"/>
      <c r="C2" s="2"/>
      <c r="D2" s="2"/>
      <c r="E2" s="2"/>
      <c r="F2" s="2"/>
      <c r="G2" s="2"/>
      <c r="H2" s="2"/>
      <c r="I2" s="2"/>
      <c r="J2" s="2"/>
      <c r="K2" s="2"/>
      <c r="L2" s="2"/>
      <c r="M2" s="2"/>
      <c r="N2" s="2"/>
      <c r="O2" s="2"/>
      <c r="P2" s="2"/>
      <c r="Q2" s="2"/>
      <c r="R2" s="2"/>
      <c r="S2" s="2"/>
      <c r="T2" s="2"/>
      <c r="U2" s="2"/>
      <c r="V2" s="2"/>
      <c r="W2" s="2"/>
      <c r="X2" s="2"/>
      <c r="Y2" s="2"/>
      <c r="Z2" s="2"/>
      <c r="AA2" s="2"/>
      <c r="AB2" s="3"/>
    </row>
    <row r="3" spans="2:28" ht="11.1" customHeight="1" x14ac:dyDescent="0.2">
      <c r="B3" s="4"/>
      <c r="C3" s="5"/>
      <c r="D3" s="5"/>
      <c r="E3" s="42" t="s">
        <v>431</v>
      </c>
      <c r="F3" s="42"/>
      <c r="G3" s="42"/>
      <c r="H3" s="42"/>
      <c r="I3" s="42"/>
      <c r="J3" s="42"/>
      <c r="K3" s="42"/>
      <c r="L3" s="42"/>
      <c r="M3" s="42"/>
      <c r="N3" s="42"/>
      <c r="O3" s="42"/>
      <c r="P3" s="42"/>
      <c r="Q3" s="42"/>
      <c r="R3" s="42"/>
      <c r="S3" s="42"/>
      <c r="T3" s="42"/>
      <c r="U3" s="42"/>
      <c r="V3" s="42"/>
      <c r="W3" s="42"/>
      <c r="X3" s="42"/>
      <c r="Y3" s="42"/>
      <c r="Z3" s="42"/>
      <c r="AA3" s="42"/>
      <c r="AB3" s="47"/>
    </row>
    <row r="4" spans="2:28" ht="2.1" customHeight="1" x14ac:dyDescent="0.2">
      <c r="B4" s="4"/>
      <c r="C4" s="11"/>
      <c r="D4" s="5"/>
      <c r="E4" s="42"/>
      <c r="F4" s="59">
        <v>1</v>
      </c>
      <c r="G4" s="59">
        <v>0.95</v>
      </c>
      <c r="H4" s="59">
        <v>0.9</v>
      </c>
      <c r="I4" s="59">
        <v>0.85</v>
      </c>
      <c r="J4" s="59">
        <v>0.8</v>
      </c>
      <c r="K4" s="59">
        <v>0.75</v>
      </c>
      <c r="L4" s="59">
        <v>0.7</v>
      </c>
      <c r="M4" s="59">
        <v>0.65</v>
      </c>
      <c r="N4" s="59">
        <v>0.6</v>
      </c>
      <c r="O4" s="59">
        <v>0.55000000000000004</v>
      </c>
      <c r="P4" s="59">
        <v>0.5</v>
      </c>
      <c r="Q4" s="60">
        <v>0.45</v>
      </c>
      <c r="R4" s="59">
        <v>0.39999999999999902</v>
      </c>
      <c r="S4" s="60">
        <v>0.34999999999999898</v>
      </c>
      <c r="T4" s="59">
        <v>0.29999999999999899</v>
      </c>
      <c r="U4" s="59">
        <v>0.249999999999999</v>
      </c>
      <c r="V4" s="59">
        <v>0.19999999999999901</v>
      </c>
      <c r="W4" s="59">
        <v>0.149999999999999</v>
      </c>
      <c r="X4" s="59">
        <v>9.9999999999999006E-2</v>
      </c>
      <c r="Y4" s="59">
        <v>4.9999999999998997E-2</v>
      </c>
      <c r="Z4" s="42"/>
      <c r="AA4" s="42"/>
      <c r="AB4" s="47"/>
    </row>
    <row r="5" spans="2:28" x14ac:dyDescent="0.2">
      <c r="B5" s="4"/>
      <c r="C5" s="11"/>
      <c r="D5" s="5"/>
      <c r="E5" s="61" t="s">
        <v>140</v>
      </c>
      <c r="F5" s="61">
        <v>100</v>
      </c>
      <c r="G5" s="61">
        <v>95</v>
      </c>
      <c r="H5" s="61">
        <v>90</v>
      </c>
      <c r="I5" s="61">
        <v>85</v>
      </c>
      <c r="J5" s="61">
        <v>80</v>
      </c>
      <c r="K5" s="61">
        <v>75</v>
      </c>
      <c r="L5" s="61">
        <v>70</v>
      </c>
      <c r="M5" s="61">
        <v>65</v>
      </c>
      <c r="N5" s="61">
        <v>60</v>
      </c>
      <c r="O5" s="61">
        <v>55</v>
      </c>
      <c r="P5" s="61">
        <v>50</v>
      </c>
      <c r="Q5" s="61">
        <v>45</v>
      </c>
      <c r="R5" s="61">
        <v>40</v>
      </c>
      <c r="S5" s="61">
        <v>35</v>
      </c>
      <c r="T5" s="61">
        <v>30</v>
      </c>
      <c r="U5" s="61">
        <v>25</v>
      </c>
      <c r="V5" s="61">
        <v>20</v>
      </c>
      <c r="W5" s="61">
        <v>15</v>
      </c>
      <c r="X5" s="61">
        <v>10</v>
      </c>
      <c r="Y5" s="61">
        <v>5</v>
      </c>
      <c r="Z5" s="61">
        <v>0</v>
      </c>
      <c r="AA5" s="61"/>
      <c r="AB5" s="62">
        <f>'Zero value Calc'!T15</f>
        <v>94.020381464331393</v>
      </c>
    </row>
    <row r="6" spans="2:28" ht="24.6" customHeight="1" x14ac:dyDescent="0.2">
      <c r="B6" s="4"/>
      <c r="C6" s="5"/>
      <c r="D6" s="5"/>
      <c r="E6" s="61" t="s">
        <v>141</v>
      </c>
      <c r="F6" s="61">
        <v>0</v>
      </c>
      <c r="G6" s="61">
        <v>0.05</v>
      </c>
      <c r="H6" s="61">
        <v>0.1</v>
      </c>
      <c r="I6" s="61">
        <v>0.15</v>
      </c>
      <c r="J6" s="61">
        <v>0.2</v>
      </c>
      <c r="K6" s="61">
        <v>0.25</v>
      </c>
      <c r="L6" s="61">
        <v>0.3</v>
      </c>
      <c r="M6" s="61">
        <v>0.35</v>
      </c>
      <c r="N6" s="61">
        <v>0.4</v>
      </c>
      <c r="O6" s="61">
        <v>0.45</v>
      </c>
      <c r="P6" s="61">
        <v>0.5</v>
      </c>
      <c r="Q6" s="61">
        <v>0.55000000000000004</v>
      </c>
      <c r="R6" s="61">
        <v>0.6</v>
      </c>
      <c r="S6" s="61">
        <v>0.65</v>
      </c>
      <c r="T6" s="61">
        <v>0.7</v>
      </c>
      <c r="U6" s="61">
        <v>0.75</v>
      </c>
      <c r="V6" s="61">
        <v>0.8</v>
      </c>
      <c r="W6" s="61">
        <v>0.85</v>
      </c>
      <c r="X6" s="61">
        <v>0.9</v>
      </c>
      <c r="Y6" s="61">
        <v>0.95</v>
      </c>
      <c r="Z6" s="61">
        <v>1</v>
      </c>
      <c r="AA6" s="61"/>
      <c r="AB6" s="63">
        <f>1-AB5/100</f>
        <v>5.9796185356686071E-2</v>
      </c>
    </row>
    <row r="7" spans="2:28" ht="11.1" customHeight="1" x14ac:dyDescent="0.2">
      <c r="B7" s="4"/>
      <c r="C7" s="5"/>
      <c r="D7" s="5"/>
      <c r="E7" s="61" t="s">
        <v>151</v>
      </c>
      <c r="F7" s="64">
        <v>1</v>
      </c>
      <c r="G7" s="64">
        <v>0.95</v>
      </c>
      <c r="H7" s="64">
        <v>0.9</v>
      </c>
      <c r="I7" s="64">
        <v>0.85</v>
      </c>
      <c r="J7" s="64">
        <v>0.8</v>
      </c>
      <c r="K7" s="64">
        <v>0.75</v>
      </c>
      <c r="L7" s="64">
        <v>0.7</v>
      </c>
      <c r="M7" s="64">
        <v>0.65</v>
      </c>
      <c r="N7" s="64">
        <v>0.6</v>
      </c>
      <c r="O7" s="64">
        <v>0.55000000000000004</v>
      </c>
      <c r="P7" s="64">
        <v>0.5</v>
      </c>
      <c r="Q7" s="64">
        <v>0.45</v>
      </c>
      <c r="R7" s="64">
        <v>0.39999999999999902</v>
      </c>
      <c r="S7" s="64">
        <v>0.34999999999999898</v>
      </c>
      <c r="T7" s="64">
        <v>0.29999999999999899</v>
      </c>
      <c r="U7" s="64">
        <v>0.249999999999999</v>
      </c>
      <c r="V7" s="64">
        <v>0.19999999999999901</v>
      </c>
      <c r="W7" s="64">
        <v>0.149999999999999</v>
      </c>
      <c r="X7" s="64">
        <v>9.9999999999999006E-2</v>
      </c>
      <c r="Y7" s="64">
        <v>4.9999999999998997E-2</v>
      </c>
      <c r="Z7" s="64">
        <v>-9.9920072216264108E-16</v>
      </c>
      <c r="AA7" s="61"/>
      <c r="AB7" s="63">
        <f>AB5/100</f>
        <v>0.94020381464331393</v>
      </c>
    </row>
    <row r="8" spans="2:28" ht="11.1" customHeight="1" x14ac:dyDescent="0.2">
      <c r="B8" s="4"/>
      <c r="C8" s="5"/>
      <c r="D8" s="5"/>
      <c r="E8" s="61" t="s">
        <v>142</v>
      </c>
      <c r="F8" s="64">
        <f>('Stage 3'!$K$36)*'Graph Calculations'!F6</f>
        <v>0</v>
      </c>
      <c r="G8" s="64">
        <f>('Stage 3'!$K$36)*'Graph Calculations'!G6</f>
        <v>0.20740129406586721</v>
      </c>
      <c r="H8" s="64">
        <f>('Stage 3'!$K$36)*'Graph Calculations'!H6</f>
        <v>0.41480258813173443</v>
      </c>
      <c r="I8" s="64">
        <f>('Stage 3'!$K$36)*'Graph Calculations'!I6</f>
        <v>0.62220388219760159</v>
      </c>
      <c r="J8" s="64">
        <f>('Stage 3'!$K$36)*'Graph Calculations'!J6</f>
        <v>0.82960517626346886</v>
      </c>
      <c r="K8" s="64">
        <f>('Stage 3'!$K$36)*'Graph Calculations'!K6</f>
        <v>1.037006470329336</v>
      </c>
      <c r="L8" s="64">
        <f>('Stage 3'!$K$36)*'Graph Calculations'!L6</f>
        <v>1.2444077643952032</v>
      </c>
      <c r="M8" s="64">
        <f>('Stage 3'!$K$36)*'Graph Calculations'!M6</f>
        <v>1.4518090584610703</v>
      </c>
      <c r="N8" s="64">
        <f>('Stage 3'!$K$36)*'Graph Calculations'!N6</f>
        <v>1.6592103525269377</v>
      </c>
      <c r="O8" s="64">
        <f>('Stage 3'!$K$36)*'Graph Calculations'!O6</f>
        <v>1.8666116465928049</v>
      </c>
      <c r="P8" s="64">
        <f>('Stage 3'!$K$36)*'Graph Calculations'!P6</f>
        <v>2.074012940658672</v>
      </c>
      <c r="Q8" s="64">
        <f>('Stage 3'!$K$36)*'Graph Calculations'!Q6</f>
        <v>2.2814142347245396</v>
      </c>
      <c r="R8" s="64">
        <f>('Stage 3'!$K$36)*'Graph Calculations'!R6</f>
        <v>2.4888155287904064</v>
      </c>
      <c r="S8" s="64">
        <f>('Stage 3'!$K$36)*'Graph Calculations'!S6</f>
        <v>2.696216822856274</v>
      </c>
      <c r="T8" s="64">
        <f>('Stage 3'!$K$36)*'Graph Calculations'!T6</f>
        <v>2.9036181169221407</v>
      </c>
      <c r="U8" s="64">
        <f>('Stage 3'!$K$36)*'Graph Calculations'!U6</f>
        <v>3.1110194109880078</v>
      </c>
      <c r="V8" s="64">
        <f>('Stage 3'!$K$36)*'Graph Calculations'!V6</f>
        <v>3.3184207050538754</v>
      </c>
      <c r="W8" s="64">
        <f>('Stage 3'!$K$36)*'Graph Calculations'!W6</f>
        <v>3.5258219991197421</v>
      </c>
      <c r="X8" s="64">
        <f>('Stage 3'!$K$36)*'Graph Calculations'!X6</f>
        <v>3.7332232931856097</v>
      </c>
      <c r="Y8" s="64">
        <f>('Stage 3'!$K$36)*'Graph Calculations'!Y6</f>
        <v>3.9406245872514765</v>
      </c>
      <c r="Z8" s="64">
        <f>('Stage 3'!$K$36)*'Graph Calculations'!Z6</f>
        <v>4.1480258813173441</v>
      </c>
      <c r="AA8" s="61"/>
      <c r="AB8" s="62">
        <f>('Stage 3'!$K$36)*'Graph Calculations'!AB6</f>
        <v>0.248036124463583</v>
      </c>
    </row>
    <row r="9" spans="2:28" ht="11.1" customHeight="1" x14ac:dyDescent="0.2">
      <c r="B9" s="4"/>
      <c r="C9" s="5"/>
      <c r="D9" s="5"/>
      <c r="E9" s="61" t="s">
        <v>152</v>
      </c>
      <c r="F9" s="64">
        <f>('Zero value Calc'!$K$16*'Data Tables'!$O$9)*F7</f>
        <v>9.3000000000000013E-2</v>
      </c>
      <c r="G9" s="64">
        <f>('Zero value Calc'!$K$16*'Data Tables'!$O$9)*G7</f>
        <v>8.8350000000000012E-2</v>
      </c>
      <c r="H9" s="64">
        <f>('Zero value Calc'!$K$16*'Data Tables'!$O$9)*H7</f>
        <v>8.3700000000000011E-2</v>
      </c>
      <c r="I9" s="64">
        <f>('Zero value Calc'!$K$16*'Data Tables'!$O$9)*I7</f>
        <v>7.9050000000000009E-2</v>
      </c>
      <c r="J9" s="64">
        <f>('Zero value Calc'!$K$16*'Data Tables'!$O$9)*J7</f>
        <v>7.4400000000000008E-2</v>
      </c>
      <c r="K9" s="64">
        <f>('Zero value Calc'!$K$16*'Data Tables'!$O$9)*K7</f>
        <v>6.9750000000000006E-2</v>
      </c>
      <c r="L9" s="64">
        <f>('Zero value Calc'!$K$16*'Data Tables'!$O$9)*L7</f>
        <v>6.5100000000000005E-2</v>
      </c>
      <c r="M9" s="64">
        <f>('Zero value Calc'!$K$16*'Data Tables'!$O$9)*M7</f>
        <v>6.0450000000000011E-2</v>
      </c>
      <c r="N9" s="64">
        <f>('Zero value Calc'!$K$16*'Data Tables'!$O$9)*N7</f>
        <v>5.5800000000000009E-2</v>
      </c>
      <c r="O9" s="64">
        <f>('Zero value Calc'!$K$16*'Data Tables'!$O$9)*O7</f>
        <v>5.1150000000000008E-2</v>
      </c>
      <c r="P9" s="64">
        <f>('Zero value Calc'!$K$16*'Data Tables'!$O$9)*P7</f>
        <v>4.6500000000000007E-2</v>
      </c>
      <c r="Q9" s="64">
        <f>('Zero value Calc'!$K$16*'Data Tables'!$O$9)*Q7</f>
        <v>4.1850000000000005E-2</v>
      </c>
      <c r="R9" s="64">
        <f>('Zero value Calc'!$K$16*'Data Tables'!$O$9)*R7</f>
        <v>3.7199999999999914E-2</v>
      </c>
      <c r="S9" s="64">
        <f>('Zero value Calc'!$K$16*'Data Tables'!$O$9)*S7</f>
        <v>3.2549999999999912E-2</v>
      </c>
      <c r="T9" s="64">
        <f>('Zero value Calc'!$K$16*'Data Tables'!$O$9)*T7</f>
        <v>2.7899999999999911E-2</v>
      </c>
      <c r="U9" s="64">
        <f>('Zero value Calc'!$K$16*'Data Tables'!$O$9)*U7</f>
        <v>2.324999999999991E-2</v>
      </c>
      <c r="V9" s="64">
        <f>('Zero value Calc'!$K$16*'Data Tables'!$O$9)*V7</f>
        <v>1.8599999999999912E-2</v>
      </c>
      <c r="W9" s="64">
        <f>('Zero value Calc'!$K$16*'Data Tables'!$O$9)*W7</f>
        <v>1.3949999999999909E-2</v>
      </c>
      <c r="X9" s="64">
        <f>('Zero value Calc'!$K$16*'Data Tables'!$O$9)*X7</f>
        <v>9.299999999999909E-3</v>
      </c>
      <c r="Y9" s="64">
        <f>('Zero value Calc'!$K$16*'Data Tables'!$O$9)*Y7</f>
        <v>4.6499999999999077E-3</v>
      </c>
      <c r="Z9" s="64">
        <f>('Zero value Calc'!$K$16*'Data Tables'!$O$9)*Z7</f>
        <v>-9.2925667161125636E-17</v>
      </c>
      <c r="AA9" s="64"/>
      <c r="AB9" s="62">
        <f>('Zero value Calc'!$K$16*'Data Tables'!$O$9)*AB7</f>
        <v>8.7438954761828211E-2</v>
      </c>
    </row>
    <row r="10" spans="2:28" ht="15.95" customHeight="1" x14ac:dyDescent="0.2">
      <c r="B10" s="4"/>
      <c r="C10" s="10"/>
      <c r="D10" s="5"/>
      <c r="E10" s="61" t="s">
        <v>143</v>
      </c>
      <c r="F10" s="64">
        <f>SUM(F8:F9)</f>
        <v>9.3000000000000013E-2</v>
      </c>
      <c r="G10" s="64">
        <f t="shared" ref="G10:Z10" si="0">SUM(G8:G9)</f>
        <v>0.2957512940658672</v>
      </c>
      <c r="H10" s="64">
        <f t="shared" si="0"/>
        <v>0.49850258813173443</v>
      </c>
      <c r="I10" s="64">
        <f>SUM(I8:I9)</f>
        <v>0.70125388219760154</v>
      </c>
      <c r="J10" s="64">
        <f t="shared" si="0"/>
        <v>0.90400517626346888</v>
      </c>
      <c r="K10" s="64">
        <f t="shared" si="0"/>
        <v>1.106756470329336</v>
      </c>
      <c r="L10" s="64">
        <f>SUM(L8:L9)</f>
        <v>1.3095077643952031</v>
      </c>
      <c r="M10" s="64">
        <f t="shared" si="0"/>
        <v>1.5122590584610704</v>
      </c>
      <c r="N10" s="64">
        <f t="shared" si="0"/>
        <v>1.7150103525269378</v>
      </c>
      <c r="O10" s="64">
        <f t="shared" si="0"/>
        <v>1.9177616465928049</v>
      </c>
      <c r="P10" s="64">
        <f t="shared" si="0"/>
        <v>2.120512940658672</v>
      </c>
      <c r="Q10" s="64">
        <f t="shared" si="0"/>
        <v>2.3232642347245398</v>
      </c>
      <c r="R10" s="64">
        <f t="shared" si="0"/>
        <v>2.5260155287904063</v>
      </c>
      <c r="S10" s="64">
        <f t="shared" si="0"/>
        <v>2.728766822856274</v>
      </c>
      <c r="T10" s="64">
        <f t="shared" si="0"/>
        <v>2.9315181169221405</v>
      </c>
      <c r="U10" s="64">
        <f t="shared" si="0"/>
        <v>3.1342694109880078</v>
      </c>
      <c r="V10" s="64">
        <f t="shared" si="0"/>
        <v>3.3370207050538752</v>
      </c>
      <c r="W10" s="64">
        <f t="shared" si="0"/>
        <v>3.5397719991197421</v>
      </c>
      <c r="X10" s="64">
        <f t="shared" si="0"/>
        <v>3.7425232931856098</v>
      </c>
      <c r="Y10" s="64">
        <f t="shared" si="0"/>
        <v>3.9452745872514763</v>
      </c>
      <c r="Z10" s="64">
        <f t="shared" si="0"/>
        <v>4.1480258813173441</v>
      </c>
      <c r="AA10" s="64"/>
      <c r="AB10" s="62">
        <f t="shared" ref="AB10" si="1">SUM(AB8:AB9)</f>
        <v>0.3354750792254112</v>
      </c>
    </row>
    <row r="11" spans="2:28" ht="12" customHeight="1" x14ac:dyDescent="0.2">
      <c r="B11" s="4"/>
      <c r="C11" s="5"/>
      <c r="D11" s="5"/>
      <c r="E11" s="61" t="s">
        <v>144</v>
      </c>
      <c r="F11" s="64">
        <f>F10-'Zero value Calc'!$K$19</f>
        <v>-4.7044221873437868</v>
      </c>
      <c r="G11" s="64">
        <f>G10-'Zero value Calc'!$K$19</f>
        <v>-4.5016708932779199</v>
      </c>
      <c r="H11" s="64">
        <f>H10-'Zero value Calc'!$K$19</f>
        <v>-4.2989195992120521</v>
      </c>
      <c r="I11" s="64">
        <f>I10-'Zero value Calc'!$K$19</f>
        <v>-4.0961683051461852</v>
      </c>
      <c r="J11" s="64">
        <f>J10-'Zero value Calc'!$K$19</f>
        <v>-3.8934170110803179</v>
      </c>
      <c r="K11" s="64">
        <f>K10-'Zero value Calc'!$K$19</f>
        <v>-3.6906657170144506</v>
      </c>
      <c r="L11" s="64">
        <f>L10-'Zero value Calc'!$K$19</f>
        <v>-3.4879144229485837</v>
      </c>
      <c r="M11" s="64">
        <f>M10-'Zero value Calc'!$K$19</f>
        <v>-3.2851631288827163</v>
      </c>
      <c r="N11" s="64">
        <f>N10-'Zero value Calc'!$K$19</f>
        <v>-3.082411834816849</v>
      </c>
      <c r="O11" s="64">
        <f>O10-'Zero value Calc'!$K$19</f>
        <v>-2.8796605407509821</v>
      </c>
      <c r="P11" s="64">
        <f>P10-'Zero value Calc'!$K$19</f>
        <v>-2.6769092466851148</v>
      </c>
      <c r="Q11" s="64">
        <f>Q10-'Zero value Calc'!$K$19</f>
        <v>-2.474157952619247</v>
      </c>
      <c r="R11" s="64">
        <f>R10-'Zero value Calc'!$K$19</f>
        <v>-2.2714066585533805</v>
      </c>
      <c r="S11" s="64">
        <f>S10-'Zero value Calc'!$K$19</f>
        <v>-2.0686553644875127</v>
      </c>
      <c r="T11" s="64">
        <f>T10-'Zero value Calc'!$K$19</f>
        <v>-1.8659040704216463</v>
      </c>
      <c r="U11" s="64">
        <f>U10-'Zero value Calc'!$K$19</f>
        <v>-1.663152776355779</v>
      </c>
      <c r="V11" s="64">
        <f>V10-'Zero value Calc'!$K$19</f>
        <v>-1.4604014822899116</v>
      </c>
      <c r="W11" s="64">
        <f>W10-'Zero value Calc'!$K$19</f>
        <v>-1.2576501882240447</v>
      </c>
      <c r="X11" s="64">
        <f>X10-'Zero value Calc'!$K$19</f>
        <v>-1.0548988941581769</v>
      </c>
      <c r="Y11" s="64">
        <f>Y10-'Zero value Calc'!$K$19</f>
        <v>-0.8521476000923105</v>
      </c>
      <c r="Z11" s="64">
        <f>Z10-'Zero value Calc'!$K$19</f>
        <v>-0.64939630602644272</v>
      </c>
      <c r="AA11" s="64"/>
      <c r="AB11" s="62">
        <f>AB10-'Zero value Calc'!$K$19</f>
        <v>-4.4619471081183759</v>
      </c>
    </row>
    <row r="12" spans="2:28" x14ac:dyDescent="0.2">
      <c r="B12" s="4"/>
      <c r="C12" s="5"/>
      <c r="D12" s="5"/>
      <c r="E12" s="61" t="s">
        <v>145</v>
      </c>
      <c r="F12" s="64">
        <f>('Zero value Calc'!$K$15/'Zero value Calc'!$K$16)*(F6*'Zero value Calc'!$K$16)</f>
        <v>0</v>
      </c>
      <c r="G12" s="64">
        <f>('Zero value Calc'!$K$15/'Zero value Calc'!$K$16)*(G6*'Zero value Calc'!$K$16)</f>
        <v>55.000000000000007</v>
      </c>
      <c r="H12" s="64">
        <f>('Zero value Calc'!$K$15/'Zero value Calc'!$K$16)*(H6*'Zero value Calc'!$K$16)</f>
        <v>110.00000000000001</v>
      </c>
      <c r="I12" s="64">
        <f>('Zero value Calc'!$K$15/'Zero value Calc'!$K$16)*(I6*'Zero value Calc'!$K$16)</f>
        <v>164.99999999999997</v>
      </c>
      <c r="J12" s="64">
        <f>('Zero value Calc'!$K$15/'Zero value Calc'!$K$16)*(J6*'Zero value Calc'!$K$16)</f>
        <v>220.00000000000003</v>
      </c>
      <c r="K12" s="64">
        <f>('Zero value Calc'!$K$15/'Zero value Calc'!$K$16)*(K6*'Zero value Calc'!$K$16)</f>
        <v>275</v>
      </c>
      <c r="L12" s="64">
        <f>('Zero value Calc'!$K$15/'Zero value Calc'!$K$16)*(L6*'Zero value Calc'!$K$16)</f>
        <v>329.99999999999994</v>
      </c>
      <c r="M12" s="64">
        <f>('Zero value Calc'!$K$15/'Zero value Calc'!$K$16)*(M6*'Zero value Calc'!$K$16)</f>
        <v>384.99999999999994</v>
      </c>
      <c r="N12" s="64">
        <f>('Zero value Calc'!$K$15/'Zero value Calc'!$K$16)*(N6*'Zero value Calc'!$K$16)</f>
        <v>440.00000000000006</v>
      </c>
      <c r="O12" s="64">
        <f>('Zero value Calc'!$K$15/'Zero value Calc'!$K$16)*(O6*'Zero value Calc'!$K$16)</f>
        <v>495</v>
      </c>
      <c r="P12" s="64">
        <f>('Zero value Calc'!$K$15/'Zero value Calc'!$K$16)*(P6*'Zero value Calc'!$K$16)</f>
        <v>550</v>
      </c>
      <c r="Q12" s="64">
        <f>('Zero value Calc'!$K$15/'Zero value Calc'!$K$16)*(Q6*'Zero value Calc'!$K$16)</f>
        <v>605.00000000000011</v>
      </c>
      <c r="R12" s="64">
        <f>('Zero value Calc'!$K$15/'Zero value Calc'!$K$16)*(R6*'Zero value Calc'!$K$16)</f>
        <v>659.99999999999989</v>
      </c>
      <c r="S12" s="64">
        <f>('Zero value Calc'!$K$15/'Zero value Calc'!$K$16)*(S6*'Zero value Calc'!$K$16)</f>
        <v>715</v>
      </c>
      <c r="T12" s="64">
        <f>('Zero value Calc'!$K$15/'Zero value Calc'!$K$16)*(T6*'Zero value Calc'!$K$16)</f>
        <v>769.99999999999989</v>
      </c>
      <c r="U12" s="64">
        <f>('Zero value Calc'!$K$15/'Zero value Calc'!$K$16)*(U6*'Zero value Calc'!$K$16)</f>
        <v>825</v>
      </c>
      <c r="V12" s="64">
        <f>('Zero value Calc'!$K$15/'Zero value Calc'!$K$16)*(V6*'Zero value Calc'!$K$16)</f>
        <v>880.00000000000011</v>
      </c>
      <c r="W12" s="64">
        <f>('Zero value Calc'!$K$15/'Zero value Calc'!$K$16)*(W6*'Zero value Calc'!$K$16)</f>
        <v>934.99999999999989</v>
      </c>
      <c r="X12" s="64">
        <f>('Zero value Calc'!$K$15/'Zero value Calc'!$K$16)*(X6*'Zero value Calc'!$K$16)</f>
        <v>990</v>
      </c>
      <c r="Y12" s="64">
        <f>('Zero value Calc'!$K$15/'Zero value Calc'!$K$16)*(Y6*'Zero value Calc'!$K$16)</f>
        <v>1045</v>
      </c>
      <c r="Z12" s="64">
        <f>('Zero value Calc'!$K$15/'Zero value Calc'!$K$16)*(Z6*'Zero value Calc'!$K$16)</f>
        <v>1100</v>
      </c>
      <c r="AA12" s="64"/>
      <c r="AB12" s="62">
        <f>('Zero value Calc'!$K$15/'Zero value Calc'!$K$16)*(AB6*'Zero value Calc'!$K$16)</f>
        <v>65.775803892354674</v>
      </c>
    </row>
    <row r="13" spans="2:28" x14ac:dyDescent="0.2">
      <c r="B13" s="4"/>
      <c r="C13" s="5"/>
      <c r="D13" s="5"/>
      <c r="E13" s="61" t="s">
        <v>50</v>
      </c>
      <c r="F13" s="64">
        <f>((((F12*(IF('Zero value Calc'!$G$11="House",'Stage 1'!$V$12,0)+IF('Zero value Calc'!$G$11="Hotel / quest house",'Stage 1'!$V$18,0))*'Stage 1'!$V$27)*'Stage 1'!$K$46)/1000000)*365.25)</f>
        <v>0</v>
      </c>
      <c r="G13" s="64">
        <f>((((G12*(IF('Zero value Calc'!$G$11="House",'Stage 1'!$V$12,0)+IF('Zero value Calc'!$G$11="Hotel / quest house",'Stage 1'!$V$18,0))*'Stage 1'!$V$27)*'Stage 1'!$K$46)/1000000)*365.25)</f>
        <v>3.7309630050000004</v>
      </c>
      <c r="H13" s="64">
        <f>((((H12*(IF('Zero value Calc'!$G$11="House",'Stage 1'!$V$12,0)+IF('Zero value Calc'!$G$11="Hotel / quest house",'Stage 1'!$V$18,0))*'Stage 1'!$V$27)*'Stage 1'!$K$46)/1000000)*365.25)</f>
        <v>7.4619260100000009</v>
      </c>
      <c r="I13" s="64">
        <f>((((I12*(IF('Zero value Calc'!$G$11="House",'Stage 1'!$V$12,0)+IF('Zero value Calc'!$G$11="Hotel / quest house",'Stage 1'!$V$18,0))*'Stage 1'!$V$27)*'Stage 1'!$K$46)/1000000)*365.25)</f>
        <v>11.192889014999995</v>
      </c>
      <c r="J13" s="64">
        <f>((((J12*(IF('Zero value Calc'!$G$11="House",'Stage 1'!$V$12,0)+IF('Zero value Calc'!$G$11="Hotel / quest house",'Stage 1'!$V$18,0))*'Stage 1'!$V$27)*'Stage 1'!$K$46)/1000000)*365.25)</f>
        <v>14.923852020000002</v>
      </c>
      <c r="K13" s="64">
        <f>((((K12*(IF('Zero value Calc'!$G$11="House",'Stage 1'!$V$12,0)+IF('Zero value Calc'!$G$11="Hotel / quest house",'Stage 1'!$V$18,0))*'Stage 1'!$V$27)*'Stage 1'!$K$46)/1000000)*365.25)</f>
        <v>18.654815024999998</v>
      </c>
      <c r="L13" s="64">
        <f>((((L12*(IF('Zero value Calc'!$G$11="House",'Stage 1'!$V$12,0)+IF('Zero value Calc'!$G$11="Hotel / quest house",'Stage 1'!$V$18,0))*'Stage 1'!$V$27)*'Stage 1'!$K$46)/1000000)*365.25)</f>
        <v>22.38577802999999</v>
      </c>
      <c r="M13" s="64">
        <f>((((M12*(IF('Zero value Calc'!$G$11="House",'Stage 1'!$V$12,0)+IF('Zero value Calc'!$G$11="Hotel / quest house",'Stage 1'!$V$18,0))*'Stage 1'!$V$27)*'Stage 1'!$K$46)/1000000)*365.25)</f>
        <v>26.116741034999997</v>
      </c>
      <c r="N13" s="64">
        <f>((((N12*(IF('Zero value Calc'!$G$11="House",'Stage 1'!$V$12,0)+IF('Zero value Calc'!$G$11="Hotel / quest house",'Stage 1'!$V$18,0))*'Stage 1'!$V$27)*'Stage 1'!$K$46)/1000000)*365.25)</f>
        <v>29.847704040000004</v>
      </c>
      <c r="O13" s="64">
        <f>((((O12*(IF('Zero value Calc'!$G$11="House",'Stage 1'!$V$12,0)+IF('Zero value Calc'!$G$11="Hotel / quest house",'Stage 1'!$V$18,0))*'Stage 1'!$V$27)*'Stage 1'!$K$46)/1000000)*365.25)</f>
        <v>33.578667044999996</v>
      </c>
      <c r="P13" s="64">
        <f>((((P12*(IF('Zero value Calc'!$G$11="House",'Stage 1'!$V$12,0)+IF('Zero value Calc'!$G$11="Hotel / quest house",'Stage 1'!$V$18,0))*'Stage 1'!$V$27)*'Stage 1'!$K$46)/1000000)*365.25)</f>
        <v>37.309630049999996</v>
      </c>
      <c r="Q13" s="64">
        <f>((((Q12*(IF('Zero value Calc'!$G$11="House",'Stage 1'!$V$12,0)+IF('Zero value Calc'!$G$11="Hotel / quest house",'Stage 1'!$V$18,0))*'Stage 1'!$V$27)*'Stage 1'!$K$46)/1000000)*365.25)</f>
        <v>41.040593055000016</v>
      </c>
      <c r="R13" s="64">
        <f>((((R12*(IF('Zero value Calc'!$G$11="House",'Stage 1'!$V$12,0)+IF('Zero value Calc'!$G$11="Hotel / quest house",'Stage 1'!$V$18,0))*'Stage 1'!$V$27)*'Stage 1'!$K$46)/1000000)*365.25)</f>
        <v>44.77155605999998</v>
      </c>
      <c r="S13" s="64">
        <f>((((S12*(IF('Zero value Calc'!$G$11="House",'Stage 1'!$V$12,0)+IF('Zero value Calc'!$G$11="Hotel / quest house",'Stage 1'!$V$18,0))*'Stage 1'!$V$27)*'Stage 1'!$K$46)/1000000)*365.25)</f>
        <v>48.502519065000001</v>
      </c>
      <c r="T13" s="64">
        <f>((((T12*(IF('Zero value Calc'!$G$11="House",'Stage 1'!$V$12,0)+IF('Zero value Calc'!$G$11="Hotel / quest house",'Stage 1'!$V$18,0))*'Stage 1'!$V$27)*'Stage 1'!$K$46)/1000000)*365.25)</f>
        <v>52.233482069999994</v>
      </c>
      <c r="U13" s="64">
        <f>((((U12*(IF('Zero value Calc'!$G$11="House",'Stage 1'!$V$12,0)+IF('Zero value Calc'!$G$11="Hotel / quest house",'Stage 1'!$V$18,0))*'Stage 1'!$V$27)*'Stage 1'!$K$46)/1000000)*365.25)</f>
        <v>55.964445074999993</v>
      </c>
      <c r="V13" s="64">
        <f>((((V12*(IF('Zero value Calc'!$G$11="House",'Stage 1'!$V$12,0)+IF('Zero value Calc'!$G$11="Hotel / quest house",'Stage 1'!$V$18,0))*'Stage 1'!$V$27)*'Stage 1'!$K$46)/1000000)*365.25)</f>
        <v>59.695408080000007</v>
      </c>
      <c r="W13" s="64">
        <f>((((W12*(IF('Zero value Calc'!$G$11="House",'Stage 1'!$V$12,0)+IF('Zero value Calc'!$G$11="Hotel / quest house",'Stage 1'!$V$18,0))*'Stage 1'!$V$27)*'Stage 1'!$K$46)/1000000)*365.25)</f>
        <v>63.426371084999992</v>
      </c>
      <c r="X13" s="64">
        <f>((((X12*(IF('Zero value Calc'!$G$11="House",'Stage 1'!$V$12,0)+IF('Zero value Calc'!$G$11="Hotel / quest house",'Stage 1'!$V$18,0))*'Stage 1'!$V$27)*'Stage 1'!$K$46)/1000000)*365.25)</f>
        <v>67.157334089999992</v>
      </c>
      <c r="Y13" s="64">
        <f>((((Y12*(IF('Zero value Calc'!$G$11="House",'Stage 1'!$V$12,0)+IF('Zero value Calc'!$G$11="Hotel / quest house",'Stage 1'!$V$18,0))*'Stage 1'!$V$27)*'Stage 1'!$K$46)/1000000)*365.25)</f>
        <v>70.888297094999984</v>
      </c>
      <c r="Z13" s="64">
        <f>((((Z12*(IF('Zero value Calc'!$G$11="House",'Stage 1'!$V$12,0)+IF('Zero value Calc'!$G$11="Hotel / quest house",'Stage 1'!$V$18,0))*'Stage 1'!$V$27)*'Stage 1'!$K$46)/1000000)*365.25)</f>
        <v>74.619260099999991</v>
      </c>
      <c r="AA13" s="64"/>
      <c r="AB13" s="65">
        <f>((((AB12*(IF('Zero value Calc'!$G$11="House",'Stage 1'!$V$12,0)+IF('Zero value Calc'!$G$11="Hotel / quest house",'Stage 1'!$V$18,0)))*'Stage 1'!$V$27)*'Stage 1'!$K$46)/1000000)*365.25</f>
        <v>4.4619471081183688</v>
      </c>
    </row>
    <row r="14" spans="2:28" ht="12" customHeight="1" x14ac:dyDescent="0.2">
      <c r="B14" s="4"/>
      <c r="C14" s="5"/>
      <c r="D14" s="5"/>
      <c r="E14" s="61" t="s">
        <v>51</v>
      </c>
      <c r="F14" s="64">
        <f>F11+F13</f>
        <v>-4.7044221873437868</v>
      </c>
      <c r="G14" s="64">
        <f t="shared" ref="G14:Z14" si="2">G11+G13</f>
        <v>-0.77070788827791947</v>
      </c>
      <c r="H14" s="64">
        <f t="shared" si="2"/>
        <v>3.1630064107879488</v>
      </c>
      <c r="I14" s="64">
        <f t="shared" si="2"/>
        <v>7.0967207098538099</v>
      </c>
      <c r="J14" s="64">
        <f t="shared" si="2"/>
        <v>11.030435008919683</v>
      </c>
      <c r="K14" s="64">
        <f t="shared" si="2"/>
        <v>14.964149307985547</v>
      </c>
      <c r="L14" s="64">
        <f t="shared" si="2"/>
        <v>18.897863607051406</v>
      </c>
      <c r="M14" s="64">
        <f t="shared" si="2"/>
        <v>22.831577906117282</v>
      </c>
      <c r="N14" s="64">
        <f t="shared" si="2"/>
        <v>26.765292205183155</v>
      </c>
      <c r="O14" s="64">
        <f t="shared" si="2"/>
        <v>30.699006504249013</v>
      </c>
      <c r="P14" s="64">
        <f t="shared" si="2"/>
        <v>34.632720803314882</v>
      </c>
      <c r="Q14" s="64">
        <f t="shared" si="2"/>
        <v>38.566435102380773</v>
      </c>
      <c r="R14" s="64">
        <f t="shared" si="2"/>
        <v>42.500149401446599</v>
      </c>
      <c r="S14" s="64">
        <f t="shared" si="2"/>
        <v>46.433863700512489</v>
      </c>
      <c r="T14" s="64">
        <f t="shared" si="2"/>
        <v>50.367577999578344</v>
      </c>
      <c r="U14" s="64">
        <f t="shared" si="2"/>
        <v>54.301292298644213</v>
      </c>
      <c r="V14" s="64">
        <f t="shared" si="2"/>
        <v>58.235006597710097</v>
      </c>
      <c r="W14" s="64">
        <f t="shared" si="2"/>
        <v>62.168720896775945</v>
      </c>
      <c r="X14" s="64">
        <f t="shared" si="2"/>
        <v>66.102435195841821</v>
      </c>
      <c r="Y14" s="64">
        <f t="shared" si="2"/>
        <v>70.036149494907676</v>
      </c>
      <c r="Z14" s="64">
        <f t="shared" si="2"/>
        <v>73.969863793973545</v>
      </c>
      <c r="AA14" s="64"/>
      <c r="AB14" s="62">
        <f t="shared" ref="AB14" si="3">AB11+AB13</f>
        <v>-7.1054273576010019E-15</v>
      </c>
    </row>
    <row r="15" spans="2:28" ht="6.6" customHeight="1" x14ac:dyDescent="0.2">
      <c r="B15" s="4"/>
      <c r="C15" s="5"/>
      <c r="D15" s="5"/>
      <c r="E15" s="42"/>
      <c r="F15" s="57"/>
      <c r="G15" s="57"/>
      <c r="H15" s="57"/>
      <c r="I15" s="57"/>
      <c r="J15" s="57"/>
      <c r="K15" s="57"/>
      <c r="L15" s="57"/>
      <c r="M15" s="57"/>
      <c r="N15" s="57"/>
      <c r="O15" s="57"/>
      <c r="P15" s="57"/>
      <c r="Q15" s="57"/>
      <c r="R15" s="57"/>
      <c r="S15" s="57"/>
      <c r="T15" s="57"/>
      <c r="U15" s="57"/>
      <c r="V15" s="57"/>
      <c r="W15" s="57"/>
      <c r="X15" s="57"/>
      <c r="Y15" s="57"/>
      <c r="Z15" s="57"/>
      <c r="AA15" s="57"/>
      <c r="AB15" s="112"/>
    </row>
    <row r="16" spans="2:28" ht="12" customHeight="1" x14ac:dyDescent="0.2">
      <c r="B16" s="4"/>
      <c r="C16" s="5"/>
      <c r="D16" s="5"/>
      <c r="E16" s="42" t="s">
        <v>432</v>
      </c>
      <c r="F16" s="57"/>
      <c r="G16" s="57"/>
      <c r="H16" s="57"/>
      <c r="I16" s="57"/>
      <c r="J16" s="57"/>
      <c r="K16" s="57"/>
      <c r="L16" s="57"/>
      <c r="M16" s="57"/>
      <c r="N16" s="57"/>
      <c r="O16" s="57"/>
      <c r="P16" s="57"/>
      <c r="Q16" s="57"/>
      <c r="R16" s="57"/>
      <c r="S16" s="57"/>
      <c r="T16" s="57"/>
      <c r="U16" s="57"/>
      <c r="V16" s="57"/>
      <c r="W16" s="57"/>
      <c r="X16" s="57"/>
      <c r="Y16" s="57"/>
      <c r="Z16" s="57"/>
      <c r="AA16" s="57"/>
      <c r="AB16" s="112"/>
    </row>
    <row r="17" spans="2:28" ht="12" customHeight="1" x14ac:dyDescent="0.2">
      <c r="B17" s="4"/>
      <c r="C17" s="5"/>
      <c r="D17" s="5"/>
      <c r="E17" s="61" t="s">
        <v>140</v>
      </c>
      <c r="F17" s="61">
        <v>100</v>
      </c>
      <c r="G17" s="61">
        <v>95</v>
      </c>
      <c r="H17" s="61">
        <v>90</v>
      </c>
      <c r="I17" s="61">
        <v>85</v>
      </c>
      <c r="J17" s="61">
        <v>80</v>
      </c>
      <c r="K17" s="61">
        <v>75</v>
      </c>
      <c r="L17" s="61">
        <v>70</v>
      </c>
      <c r="M17" s="61">
        <v>65</v>
      </c>
      <c r="N17" s="61">
        <v>60</v>
      </c>
      <c r="O17" s="61">
        <v>55</v>
      </c>
      <c r="P17" s="61">
        <v>50</v>
      </c>
      <c r="Q17" s="61">
        <v>45</v>
      </c>
      <c r="R17" s="61">
        <v>40</v>
      </c>
      <c r="S17" s="61">
        <v>35</v>
      </c>
      <c r="T17" s="61">
        <v>30</v>
      </c>
      <c r="U17" s="61">
        <v>25</v>
      </c>
      <c r="V17" s="61">
        <v>20</v>
      </c>
      <c r="W17" s="61">
        <v>15</v>
      </c>
      <c r="X17" s="61">
        <v>10</v>
      </c>
      <c r="Y17" s="61">
        <v>5</v>
      </c>
      <c r="Z17" s="61">
        <v>0</v>
      </c>
      <c r="AA17" s="61"/>
      <c r="AB17" s="62">
        <f>'Zero value Calc'!T20</f>
        <v>99.211856639553758</v>
      </c>
    </row>
    <row r="18" spans="2:28" ht="12" customHeight="1" x14ac:dyDescent="0.2">
      <c r="B18" s="4"/>
      <c r="C18" s="5"/>
      <c r="D18" s="5"/>
      <c r="E18" s="61" t="s">
        <v>141</v>
      </c>
      <c r="F18" s="61">
        <v>0</v>
      </c>
      <c r="G18" s="61">
        <v>0.05</v>
      </c>
      <c r="H18" s="61">
        <v>0.1</v>
      </c>
      <c r="I18" s="61">
        <v>0.15</v>
      </c>
      <c r="J18" s="61">
        <v>0.2</v>
      </c>
      <c r="K18" s="61">
        <v>0.25</v>
      </c>
      <c r="L18" s="61">
        <v>0.3</v>
      </c>
      <c r="M18" s="61">
        <v>0.35</v>
      </c>
      <c r="N18" s="61">
        <v>0.4</v>
      </c>
      <c r="O18" s="61">
        <v>0.45</v>
      </c>
      <c r="P18" s="61">
        <v>0.5</v>
      </c>
      <c r="Q18" s="61">
        <v>0.55000000000000004</v>
      </c>
      <c r="R18" s="61">
        <v>0.6</v>
      </c>
      <c r="S18" s="61">
        <v>0.65</v>
      </c>
      <c r="T18" s="61">
        <v>0.7</v>
      </c>
      <c r="U18" s="61">
        <v>0.75</v>
      </c>
      <c r="V18" s="61">
        <v>0.8</v>
      </c>
      <c r="W18" s="61">
        <v>0.85</v>
      </c>
      <c r="X18" s="61">
        <v>0.9</v>
      </c>
      <c r="Y18" s="61">
        <v>0.95</v>
      </c>
      <c r="Z18" s="61">
        <v>1</v>
      </c>
      <c r="AA18" s="61"/>
      <c r="AB18" s="63">
        <f>1-AB17/100</f>
        <v>7.8814336044623623E-3</v>
      </c>
    </row>
    <row r="19" spans="2:28" ht="12" customHeight="1" x14ac:dyDescent="0.2">
      <c r="B19" s="4"/>
      <c r="C19" s="5"/>
      <c r="D19" s="5"/>
      <c r="E19" s="61" t="s">
        <v>151</v>
      </c>
      <c r="F19" s="64">
        <v>1</v>
      </c>
      <c r="G19" s="64">
        <v>0.95</v>
      </c>
      <c r="H19" s="64">
        <v>0.9</v>
      </c>
      <c r="I19" s="64">
        <v>0.85</v>
      </c>
      <c r="J19" s="64">
        <v>0.8</v>
      </c>
      <c r="K19" s="64">
        <v>0.75</v>
      </c>
      <c r="L19" s="64">
        <v>0.7</v>
      </c>
      <c r="M19" s="64">
        <v>0.65</v>
      </c>
      <c r="N19" s="64">
        <v>0.6</v>
      </c>
      <c r="O19" s="64">
        <v>0.55000000000000004</v>
      </c>
      <c r="P19" s="64">
        <v>0.5</v>
      </c>
      <c r="Q19" s="64">
        <v>0.45</v>
      </c>
      <c r="R19" s="64">
        <v>0.39999999999999902</v>
      </c>
      <c r="S19" s="64">
        <v>0.34999999999999898</v>
      </c>
      <c r="T19" s="64">
        <v>0.29999999999999899</v>
      </c>
      <c r="U19" s="64">
        <v>0.249999999999999</v>
      </c>
      <c r="V19" s="64">
        <v>0.19999999999999901</v>
      </c>
      <c r="W19" s="64">
        <v>0.149999999999999</v>
      </c>
      <c r="X19" s="64">
        <v>9.9999999999999006E-2</v>
      </c>
      <c r="Y19" s="64">
        <v>4.9999999999998997E-2</v>
      </c>
      <c r="Z19" s="64">
        <v>-9.9920072216264108E-16</v>
      </c>
      <c r="AA19" s="61"/>
      <c r="AB19" s="63">
        <f>AB17/100</f>
        <v>0.99211856639553764</v>
      </c>
    </row>
    <row r="20" spans="2:28" ht="12" customHeight="1" x14ac:dyDescent="0.2">
      <c r="B20" s="4"/>
      <c r="C20" s="5"/>
      <c r="D20" s="5"/>
      <c r="E20" s="61" t="s">
        <v>142</v>
      </c>
      <c r="F20" s="64">
        <f>('Stage 3'!$K$38)*'Graph Calculations'!F18</f>
        <v>0</v>
      </c>
      <c r="G20" s="64">
        <f>('Stage 3'!$K$38)*'Graph Calculations'!G18</f>
        <v>2.1695907194026747</v>
      </c>
      <c r="H20" s="64">
        <f>('Stage 3'!$K$38)*'Graph Calculations'!H18</f>
        <v>4.3391814388053493</v>
      </c>
      <c r="I20" s="64">
        <f>('Stage 3'!$K$38)*'Graph Calculations'!I18</f>
        <v>6.5087721582080231</v>
      </c>
      <c r="J20" s="64">
        <f>('Stage 3'!$K$38)*'Graph Calculations'!J18</f>
        <v>8.6783628776106987</v>
      </c>
      <c r="K20" s="64">
        <f>('Stage 3'!$K$38)*'Graph Calculations'!K18</f>
        <v>10.847953597013372</v>
      </c>
      <c r="L20" s="64">
        <f>('Stage 3'!$K$38)*'Graph Calculations'!L18</f>
        <v>13.017544316416046</v>
      </c>
      <c r="M20" s="64">
        <f>('Stage 3'!$K$38)*'Graph Calculations'!M18</f>
        <v>15.18713503581872</v>
      </c>
      <c r="N20" s="64">
        <f>('Stage 3'!$K$38)*'Graph Calculations'!N18</f>
        <v>17.356725755221397</v>
      </c>
      <c r="O20" s="64">
        <f>('Stage 3'!$K$38)*'Graph Calculations'!O18</f>
        <v>19.526316474624071</v>
      </c>
      <c r="P20" s="64">
        <f>('Stage 3'!$K$38)*'Graph Calculations'!P18</f>
        <v>21.695907194026745</v>
      </c>
      <c r="Q20" s="64">
        <f>('Stage 3'!$K$38)*'Graph Calculations'!Q18</f>
        <v>23.865497913429422</v>
      </c>
      <c r="R20" s="64">
        <f>('Stage 3'!$K$38)*'Graph Calculations'!R18</f>
        <v>26.035088632832093</v>
      </c>
      <c r="S20" s="64">
        <f>('Stage 3'!$K$38)*'Graph Calculations'!S18</f>
        <v>28.20467935223477</v>
      </c>
      <c r="T20" s="64">
        <f>('Stage 3'!$K$38)*'Graph Calculations'!T18</f>
        <v>30.37427007163744</v>
      </c>
      <c r="U20" s="64">
        <f>('Stage 3'!$K$38)*'Graph Calculations'!U18</f>
        <v>32.543860791040117</v>
      </c>
      <c r="V20" s="64">
        <f>('Stage 3'!$K$38)*'Graph Calculations'!V18</f>
        <v>34.713451510442795</v>
      </c>
      <c r="W20" s="64">
        <f>('Stage 3'!$K$38)*'Graph Calculations'!W18</f>
        <v>36.883042229845465</v>
      </c>
      <c r="X20" s="64">
        <f>('Stage 3'!$K$38)*'Graph Calculations'!X18</f>
        <v>39.052632949248142</v>
      </c>
      <c r="Y20" s="64">
        <f>('Stage 3'!$K$38)*'Graph Calculations'!Y18</f>
        <v>41.222223668650813</v>
      </c>
      <c r="Z20" s="64">
        <f>('Stage 3'!$K$38)*'Graph Calculations'!Z18</f>
        <v>43.39181438805349</v>
      </c>
      <c r="AA20" s="61"/>
      <c r="AB20" s="62">
        <f>('Stage 3'!$K$38)*'Graph Calculations'!AB18</f>
        <v>0.34198970407659823</v>
      </c>
    </row>
    <row r="21" spans="2:28" ht="12" customHeight="1" x14ac:dyDescent="0.2">
      <c r="B21" s="4"/>
      <c r="C21" s="5"/>
      <c r="D21" s="5"/>
      <c r="E21" s="61" t="s">
        <v>152</v>
      </c>
      <c r="F21" s="64">
        <f>('Zero value Calc'!$K$16*'Data Tables'!$P$9)*F19</f>
        <v>13.950000000000001</v>
      </c>
      <c r="G21" s="64">
        <f>('Zero value Calc'!$K$16*'Data Tables'!$P$9)*G19</f>
        <v>13.252500000000001</v>
      </c>
      <c r="H21" s="64">
        <f>('Zero value Calc'!$K$16*'Data Tables'!$P$9)*H19</f>
        <v>12.555000000000001</v>
      </c>
      <c r="I21" s="64">
        <f>('Zero value Calc'!$K$16*'Data Tables'!$P$9)*I19</f>
        <v>11.8575</v>
      </c>
      <c r="J21" s="64">
        <f>('Zero value Calc'!$K$16*'Data Tables'!$P$9)*J19</f>
        <v>11.160000000000002</v>
      </c>
      <c r="K21" s="64">
        <f>('Zero value Calc'!$K$16*'Data Tables'!$P$9)*K19</f>
        <v>10.4625</v>
      </c>
      <c r="L21" s="64">
        <f>('Zero value Calc'!$K$16*'Data Tables'!$P$9)*L19</f>
        <v>9.7650000000000006</v>
      </c>
      <c r="M21" s="64">
        <f>('Zero value Calc'!$K$16*'Data Tables'!$P$9)*M19</f>
        <v>9.0675000000000008</v>
      </c>
      <c r="N21" s="64">
        <f>('Zero value Calc'!$K$16*'Data Tables'!$P$9)*N19</f>
        <v>8.370000000000001</v>
      </c>
      <c r="O21" s="64">
        <f>('Zero value Calc'!$K$16*'Data Tables'!$P$9)*O19</f>
        <v>7.6725000000000012</v>
      </c>
      <c r="P21" s="64">
        <f>('Zero value Calc'!$K$16*'Data Tables'!$P$9)*P19</f>
        <v>6.9750000000000005</v>
      </c>
      <c r="Q21" s="64">
        <f>('Zero value Calc'!$K$16*'Data Tables'!$P$9)*Q19</f>
        <v>6.2775000000000007</v>
      </c>
      <c r="R21" s="64">
        <f>('Zero value Calc'!$K$16*'Data Tables'!$P$9)*R19</f>
        <v>5.5799999999999867</v>
      </c>
      <c r="S21" s="64">
        <f>('Zero value Calc'!$K$16*'Data Tables'!$P$9)*S19</f>
        <v>4.8824999999999861</v>
      </c>
      <c r="T21" s="64">
        <f>('Zero value Calc'!$K$16*'Data Tables'!$P$9)*T19</f>
        <v>4.1849999999999863</v>
      </c>
      <c r="U21" s="64">
        <f>('Zero value Calc'!$K$16*'Data Tables'!$P$9)*U19</f>
        <v>3.4874999999999865</v>
      </c>
      <c r="V21" s="64">
        <f>('Zero value Calc'!$K$16*'Data Tables'!$P$9)*V19</f>
        <v>2.7899999999999863</v>
      </c>
      <c r="W21" s="64">
        <f>('Zero value Calc'!$K$16*'Data Tables'!$P$9)*W19</f>
        <v>2.092499999999986</v>
      </c>
      <c r="X21" s="64">
        <f>('Zero value Calc'!$K$16*'Data Tables'!$P$9)*X19</f>
        <v>1.3949999999999863</v>
      </c>
      <c r="Y21" s="64">
        <f>('Zero value Calc'!$K$16*'Data Tables'!$P$9)*Y19</f>
        <v>0.69749999999998602</v>
      </c>
      <c r="Z21" s="64">
        <f>('Zero value Calc'!$K$16*'Data Tables'!$P$9)*Z19</f>
        <v>-1.3938850074168845E-14</v>
      </c>
      <c r="AA21" s="64"/>
      <c r="AB21" s="62">
        <f>('Zero value Calc'!$K$16*'Data Tables'!$O$9)*AB19</f>
        <v>9.2267026674785008E-2</v>
      </c>
    </row>
    <row r="22" spans="2:28" ht="12" customHeight="1" x14ac:dyDescent="0.2">
      <c r="B22" s="4"/>
      <c r="C22" s="5"/>
      <c r="D22" s="5"/>
      <c r="E22" s="61" t="s">
        <v>143</v>
      </c>
      <c r="F22" s="64">
        <f>SUM(F20:F21)</f>
        <v>13.950000000000001</v>
      </c>
      <c r="G22" s="64">
        <f t="shared" ref="G22:K22" si="4">SUM(G20:G21)</f>
        <v>15.422090719402675</v>
      </c>
      <c r="H22" s="64">
        <f t="shared" si="4"/>
        <v>16.894181438805351</v>
      </c>
      <c r="I22" s="64">
        <f t="shared" si="4"/>
        <v>18.366272158208023</v>
      </c>
      <c r="J22" s="64">
        <f t="shared" si="4"/>
        <v>19.838362877610699</v>
      </c>
      <c r="K22" s="64">
        <f t="shared" si="4"/>
        <v>21.310453597013371</v>
      </c>
      <c r="L22" s="64">
        <f>SUM(L20:L21)</f>
        <v>22.782544316416047</v>
      </c>
      <c r="M22" s="64">
        <f t="shared" ref="M22:Z22" si="5">SUM(M20:M21)</f>
        <v>24.254635035818723</v>
      </c>
      <c r="N22" s="64">
        <f t="shared" si="5"/>
        <v>25.726725755221398</v>
      </c>
      <c r="O22" s="64">
        <f t="shared" si="5"/>
        <v>27.198816474624074</v>
      </c>
      <c r="P22" s="64">
        <f t="shared" si="5"/>
        <v>28.670907194026746</v>
      </c>
      <c r="Q22" s="64">
        <f t="shared" si="5"/>
        <v>30.142997913429422</v>
      </c>
      <c r="R22" s="64">
        <f t="shared" si="5"/>
        <v>31.61508863283208</v>
      </c>
      <c r="S22" s="64">
        <f t="shared" si="5"/>
        <v>33.087179352234756</v>
      </c>
      <c r="T22" s="64">
        <f t="shared" si="5"/>
        <v>34.559270071637428</v>
      </c>
      <c r="U22" s="64">
        <f t="shared" si="5"/>
        <v>36.0313607910401</v>
      </c>
      <c r="V22" s="64">
        <f t="shared" si="5"/>
        <v>37.50345151044278</v>
      </c>
      <c r="W22" s="64">
        <f t="shared" si="5"/>
        <v>38.975542229845452</v>
      </c>
      <c r="X22" s="64">
        <f t="shared" si="5"/>
        <v>40.447632949248131</v>
      </c>
      <c r="Y22" s="64">
        <f t="shared" si="5"/>
        <v>41.919723668650796</v>
      </c>
      <c r="Z22" s="64">
        <f t="shared" si="5"/>
        <v>43.391814388053476</v>
      </c>
      <c r="AA22" s="64"/>
      <c r="AB22" s="62">
        <f>SUM(AB20:AB21)</f>
        <v>0.43425673075138327</v>
      </c>
    </row>
    <row r="23" spans="2:28" ht="12" customHeight="1" x14ac:dyDescent="0.2">
      <c r="B23" s="4"/>
      <c r="C23" s="5"/>
      <c r="D23" s="5"/>
      <c r="E23" s="61" t="s">
        <v>144</v>
      </c>
      <c r="F23" s="64">
        <f>F22-'Zero value Calc'!$K$20</f>
        <v>-16.568342152301852</v>
      </c>
      <c r="G23" s="64">
        <f>G22-'Zero value Calc'!$K$20</f>
        <v>-15.09625143289918</v>
      </c>
      <c r="H23" s="64">
        <f>H22-'Zero value Calc'!$K$20</f>
        <v>-13.624160713496504</v>
      </c>
      <c r="I23" s="64">
        <f>I22-'Zero value Calc'!$K$20</f>
        <v>-12.152069994093832</v>
      </c>
      <c r="J23" s="64">
        <f>J22-'Zero value Calc'!$K$20</f>
        <v>-10.679979274691156</v>
      </c>
      <c r="K23" s="64">
        <f>K22-'Zero value Calc'!$K$20</f>
        <v>-9.2078885552884842</v>
      </c>
      <c r="L23" s="64">
        <f>L22-'Zero value Calc'!$K$20</f>
        <v>-7.7357978358858084</v>
      </c>
      <c r="M23" s="64">
        <f>M22-'Zero value Calc'!$K$20</f>
        <v>-6.2637071164831326</v>
      </c>
      <c r="N23" s="64">
        <f>N22-'Zero value Calc'!$K$20</f>
        <v>-4.7916163970804568</v>
      </c>
      <c r="O23" s="64">
        <f>O22-'Zero value Calc'!$K$20</f>
        <v>-3.3195256776777811</v>
      </c>
      <c r="P23" s="64">
        <f>P22-'Zero value Calc'!$K$20</f>
        <v>-1.8474349582751088</v>
      </c>
      <c r="Q23" s="64">
        <f>Q22-'Zero value Calc'!$K$20</f>
        <v>-0.37534423887243307</v>
      </c>
      <c r="R23" s="64">
        <f>R22-'Zero value Calc'!$K$20</f>
        <v>1.0967464805302249</v>
      </c>
      <c r="S23" s="64">
        <f>S22-'Zero value Calc'!$K$20</f>
        <v>2.5688371999329007</v>
      </c>
      <c r="T23" s="64">
        <f>T22-'Zero value Calc'!$K$20</f>
        <v>4.0409279193355729</v>
      </c>
      <c r="U23" s="64">
        <f>U22-'Zero value Calc'!$K$20</f>
        <v>5.5130186387382452</v>
      </c>
      <c r="V23" s="64">
        <f>V22-'Zero value Calc'!$K$20</f>
        <v>6.9851093581409245</v>
      </c>
      <c r="W23" s="64">
        <f>W22-'Zero value Calc'!$K$20</f>
        <v>8.4572000775435967</v>
      </c>
      <c r="X23" s="64">
        <f>X22-'Zero value Calc'!$K$20</f>
        <v>9.929290796946276</v>
      </c>
      <c r="Y23" s="64">
        <f>Y22-'Zero value Calc'!$K$20</f>
        <v>11.401381516348941</v>
      </c>
      <c r="Z23" s="64">
        <f>Z22-'Zero value Calc'!$K$20</f>
        <v>12.87347223575162</v>
      </c>
      <c r="AA23" s="64"/>
      <c r="AB23" s="62">
        <f>AB22-'Zero value Calc'!$K$20</f>
        <v>-30.084085421550473</v>
      </c>
    </row>
    <row r="24" spans="2:28" ht="12" customHeight="1" x14ac:dyDescent="0.2">
      <c r="B24" s="4"/>
      <c r="C24" s="5"/>
      <c r="D24" s="5"/>
      <c r="E24" s="61" t="s">
        <v>145</v>
      </c>
      <c r="F24" s="64">
        <f>('Zero value Calc'!$K$15/'Zero value Calc'!$K$16)*(F18*'Zero value Calc'!$K$16)</f>
        <v>0</v>
      </c>
      <c r="G24" s="64">
        <f>('Zero value Calc'!$K$15/'Zero value Calc'!$K$16)*(G18*'Zero value Calc'!$K$16)</f>
        <v>55.000000000000007</v>
      </c>
      <c r="H24" s="64">
        <f>('Zero value Calc'!$K$15/'Zero value Calc'!$K$16)*(H18*'Zero value Calc'!$K$16)</f>
        <v>110.00000000000001</v>
      </c>
      <c r="I24" s="64">
        <f>('Zero value Calc'!$K$15/'Zero value Calc'!$K$16)*(I18*'Zero value Calc'!$K$16)</f>
        <v>164.99999999999997</v>
      </c>
      <c r="J24" s="64">
        <f>('Zero value Calc'!$K$15/'Zero value Calc'!$K$16)*(J18*'Zero value Calc'!$K$16)</f>
        <v>220.00000000000003</v>
      </c>
      <c r="K24" s="64">
        <f>('Zero value Calc'!$K$15/'Zero value Calc'!$K$16)*(K18*'Zero value Calc'!$K$16)</f>
        <v>275</v>
      </c>
      <c r="L24" s="64">
        <f>('Zero value Calc'!$K$15/'Zero value Calc'!$K$16)*(L18*'Zero value Calc'!$K$16)</f>
        <v>329.99999999999994</v>
      </c>
      <c r="M24" s="64">
        <f>('Zero value Calc'!$K$15/'Zero value Calc'!$K$16)*(M18*'Zero value Calc'!$K$16)</f>
        <v>384.99999999999994</v>
      </c>
      <c r="N24" s="64">
        <f>('Zero value Calc'!$K$15/'Zero value Calc'!$K$16)*(N18*'Zero value Calc'!$K$16)</f>
        <v>440.00000000000006</v>
      </c>
      <c r="O24" s="64">
        <f>('Zero value Calc'!$K$15/'Zero value Calc'!$K$16)*(O18*'Zero value Calc'!$K$16)</f>
        <v>495</v>
      </c>
      <c r="P24" s="64">
        <f>('Zero value Calc'!$K$15/'Zero value Calc'!$K$16)*(P18*'Zero value Calc'!$K$16)</f>
        <v>550</v>
      </c>
      <c r="Q24" s="64">
        <f>('Zero value Calc'!$K$15/'Zero value Calc'!$K$16)*(Q18*'Zero value Calc'!$K$16)</f>
        <v>605.00000000000011</v>
      </c>
      <c r="R24" s="64">
        <f>('Zero value Calc'!$K$15/'Zero value Calc'!$K$16)*(R18*'Zero value Calc'!$K$16)</f>
        <v>659.99999999999989</v>
      </c>
      <c r="S24" s="64">
        <f>('Zero value Calc'!$K$15/'Zero value Calc'!$K$16)*(S18*'Zero value Calc'!$K$16)</f>
        <v>715</v>
      </c>
      <c r="T24" s="64">
        <f>('Zero value Calc'!$K$15/'Zero value Calc'!$K$16)*(T18*'Zero value Calc'!$K$16)</f>
        <v>769.99999999999989</v>
      </c>
      <c r="U24" s="64">
        <f>('Zero value Calc'!$K$15/'Zero value Calc'!$K$16)*(U18*'Zero value Calc'!$K$16)</f>
        <v>825</v>
      </c>
      <c r="V24" s="64">
        <f>('Zero value Calc'!$K$15/'Zero value Calc'!$K$16)*(V18*'Zero value Calc'!$K$16)</f>
        <v>880.00000000000011</v>
      </c>
      <c r="W24" s="64">
        <f>('Zero value Calc'!$K$15/'Zero value Calc'!$K$16)*(W18*'Zero value Calc'!$K$16)</f>
        <v>934.99999999999989</v>
      </c>
      <c r="X24" s="64">
        <f>('Zero value Calc'!$K$15/'Zero value Calc'!$K$16)*(X18*'Zero value Calc'!$K$16)</f>
        <v>990</v>
      </c>
      <c r="Y24" s="64">
        <f>('Zero value Calc'!$K$15/'Zero value Calc'!$K$16)*(Y18*'Zero value Calc'!$K$16)</f>
        <v>1045</v>
      </c>
      <c r="Z24" s="64">
        <f>('Zero value Calc'!$K$15/'Zero value Calc'!$K$16)*(Z18*'Zero value Calc'!$K$16)</f>
        <v>1100</v>
      </c>
      <c r="AA24" s="64"/>
      <c r="AB24" s="62">
        <f>('Zero value Calc'!$K$15/'Zero value Calc'!$K$16)*(AB18*'Zero value Calc'!$K$16)</f>
        <v>8.6695769649085985</v>
      </c>
    </row>
    <row r="25" spans="2:28" ht="12" customHeight="1" x14ac:dyDescent="0.2">
      <c r="B25" s="4"/>
      <c r="C25" s="5"/>
      <c r="D25" s="5"/>
      <c r="E25" s="61" t="s">
        <v>50</v>
      </c>
      <c r="F25" s="64">
        <f>((((F24*(IF('Zero value Calc'!$G$11="House",'Stage 1'!$V$12,0)+IF('Zero value Calc'!$G$11="Hotel / quest house",'Stage 1'!$V$18,0))*'Stage 1'!$V$27)*'Stage 1'!$K$47)/1000000)*365.25)</f>
        <v>0</v>
      </c>
      <c r="G25" s="64">
        <f>((((G24*(IF('Zero value Calc'!$G$11="House",'Stage 1'!$V$12,0)+IF('Zero value Calc'!$G$11="Hotel / quest house",'Stage 1'!$V$18,0))*'Stage 1'!$V$27)*'Stage 1'!$K$47)/1000000)*365.25)</f>
        <v>103.63786125000001</v>
      </c>
      <c r="H25" s="64">
        <f>((((H24*(IF('Zero value Calc'!$G$11="House",'Stage 1'!$V$12,0)+IF('Zero value Calc'!$G$11="Hotel / quest house",'Stage 1'!$V$18,0))*'Stage 1'!$V$27)*'Stage 1'!$K$47)/1000000)*365.25)</f>
        <v>207.27572250000003</v>
      </c>
      <c r="I25" s="64">
        <f>((((I24*(IF('Zero value Calc'!$G$11="House",'Stage 1'!$V$12,0)+IF('Zero value Calc'!$G$11="Hotel / quest house",'Stage 1'!$V$18,0))*'Stage 1'!$V$27)*'Stage 1'!$K$47)/1000000)*365.25)</f>
        <v>310.91358374999987</v>
      </c>
      <c r="J25" s="64">
        <f>((((J24*(IF('Zero value Calc'!$G$11="House",'Stage 1'!$V$12,0)+IF('Zero value Calc'!$G$11="Hotel / quest house",'Stage 1'!$V$18,0))*'Stage 1'!$V$27)*'Stage 1'!$K$47)/1000000)*365.25)</f>
        <v>414.55144500000006</v>
      </c>
      <c r="K25" s="64">
        <f>((((K24*(IF('Zero value Calc'!$G$11="House",'Stage 1'!$V$12,0)+IF('Zero value Calc'!$G$11="Hotel / quest house",'Stage 1'!$V$18,0))*'Stage 1'!$V$27)*'Stage 1'!$K$47)/1000000)*365.25)</f>
        <v>518.18930624999996</v>
      </c>
      <c r="L25" s="64">
        <f>((((L24*(IF('Zero value Calc'!$G$11="House",'Stage 1'!$V$12,0)+IF('Zero value Calc'!$G$11="Hotel / quest house",'Stage 1'!$V$18,0))*'Stage 1'!$V$27)*'Stage 1'!$K$47)/1000000)*365.25)</f>
        <v>621.82716749999975</v>
      </c>
      <c r="M25" s="64">
        <f>((((M24*(IF('Zero value Calc'!$G$11="House",'Stage 1'!$V$12,0)+IF('Zero value Calc'!$G$11="Hotel / quest house",'Stage 1'!$V$18,0))*'Stage 1'!$V$27)*'Stage 1'!$K$47)/1000000)*365.25)</f>
        <v>725.46502874999999</v>
      </c>
      <c r="N25" s="64">
        <f>((((N24*(IF('Zero value Calc'!$G$11="House",'Stage 1'!$V$12,0)+IF('Zero value Calc'!$G$11="Hotel / quest house",'Stage 1'!$V$18,0))*'Stage 1'!$V$27)*'Stage 1'!$K$47)/1000000)*365.25)</f>
        <v>829.10289000000012</v>
      </c>
      <c r="O25" s="64">
        <f>((((O24*(IF('Zero value Calc'!$G$11="House",'Stage 1'!$V$12,0)+IF('Zero value Calc'!$G$11="Hotel / quest house",'Stage 1'!$V$18,0))*'Stage 1'!$V$27)*'Stage 1'!$K$47)/1000000)*365.25)</f>
        <v>932.74075124999979</v>
      </c>
      <c r="P25" s="64">
        <f>((((P24*(IF('Zero value Calc'!$G$11="House",'Stage 1'!$V$12,0)+IF('Zero value Calc'!$G$11="Hotel / quest house",'Stage 1'!$V$18,0))*'Stage 1'!$V$27)*'Stage 1'!$K$47)/1000000)*365.25)</f>
        <v>1036.3786124999999</v>
      </c>
      <c r="Q25" s="64">
        <f>((((Q24*(IF('Zero value Calc'!$G$11="House",'Stage 1'!$V$12,0)+IF('Zero value Calc'!$G$11="Hotel / quest house",'Stage 1'!$V$18,0))*'Stage 1'!$V$27)*'Stage 1'!$K$47)/1000000)*365.25)</f>
        <v>1140.0164737500004</v>
      </c>
      <c r="R25" s="64">
        <f>((((R24*(IF('Zero value Calc'!$G$11="House",'Stage 1'!$V$12,0)+IF('Zero value Calc'!$G$11="Hotel / quest house",'Stage 1'!$V$18,0))*'Stage 1'!$V$27)*'Stage 1'!$K$47)/1000000)*365.25)</f>
        <v>1243.6543349999995</v>
      </c>
      <c r="S25" s="64">
        <f>((((S24*(IF('Zero value Calc'!$G$11="House",'Stage 1'!$V$12,0)+IF('Zero value Calc'!$G$11="Hotel / quest house",'Stage 1'!$V$18,0))*'Stage 1'!$V$27)*'Stage 1'!$K$47)/1000000)*365.25)</f>
        <v>1347.29219625</v>
      </c>
      <c r="T25" s="64">
        <f>((((T24*(IF('Zero value Calc'!$G$11="House",'Stage 1'!$V$12,0)+IF('Zero value Calc'!$G$11="Hotel / quest house",'Stage 1'!$V$18,0))*'Stage 1'!$V$27)*'Stage 1'!$K$47)/1000000)*365.25)</f>
        <v>1450.9300575</v>
      </c>
      <c r="U25" s="64">
        <f>((((U24*(IF('Zero value Calc'!$G$11="House",'Stage 1'!$V$12,0)+IF('Zero value Calc'!$G$11="Hotel / quest house",'Stage 1'!$V$18,0))*'Stage 1'!$V$27)*'Stage 1'!$K$47)/1000000)*365.25)</f>
        <v>1554.5679187499995</v>
      </c>
      <c r="V25" s="64">
        <f>((((V24*(IF('Zero value Calc'!$G$11="House",'Stage 1'!$V$12,0)+IF('Zero value Calc'!$G$11="Hotel / quest house",'Stage 1'!$V$18,0))*'Stage 1'!$V$27)*'Stage 1'!$K$47)/1000000)*365.25)</f>
        <v>1658.2057800000002</v>
      </c>
      <c r="W25" s="64">
        <f>((((W24*(IF('Zero value Calc'!$G$11="House",'Stage 1'!$V$12,0)+IF('Zero value Calc'!$G$11="Hotel / quest house",'Stage 1'!$V$18,0))*'Stage 1'!$V$27)*'Stage 1'!$K$47)/1000000)*365.25)</f>
        <v>1761.8436412499998</v>
      </c>
      <c r="X25" s="64">
        <f>((((X24*(IF('Zero value Calc'!$G$11="House",'Stage 1'!$V$12,0)+IF('Zero value Calc'!$G$11="Hotel / quest house",'Stage 1'!$V$18,0))*'Stage 1'!$V$27)*'Stage 1'!$K$47)/1000000)*365.25)</f>
        <v>1865.4815024999996</v>
      </c>
      <c r="Y25" s="64">
        <f>((((Y24*(IF('Zero value Calc'!$G$11="House",'Stage 1'!$V$12,0)+IF('Zero value Calc'!$G$11="Hotel / quest house",'Stage 1'!$V$18,0))*'Stage 1'!$V$27)*'Stage 1'!$K$47)/1000000)*365.25)</f>
        <v>1969.11936375</v>
      </c>
      <c r="Z25" s="64">
        <f>((((Z24*(IF('Zero value Calc'!$G$11="House",'Stage 1'!$V$12,0)+IF('Zero value Calc'!$G$11="Hotel / quest house",'Stage 1'!$V$18,0))*'Stage 1'!$V$27)*'Stage 1'!$K$47)/1000000)*365.25)</f>
        <v>2072.7572249999998</v>
      </c>
      <c r="AA25" s="64"/>
      <c r="AB25" s="65">
        <f>((((AB24*(IF('Zero value Calc'!$G$11="House",'Stage 1'!$V$12,0)+IF('Zero value Calc'!$G$11="Hotel / quest house",'Stage 1'!$V$18,0)))*'Stage 1'!$V$27)*'Stage 1'!$K$47)/1000000)*365.25</f>
        <v>16.336298447007156</v>
      </c>
    </row>
    <row r="26" spans="2:28" ht="12" customHeight="1" x14ac:dyDescent="0.2">
      <c r="B26" s="4"/>
      <c r="C26" s="5"/>
      <c r="D26" s="5"/>
      <c r="E26" s="61" t="s">
        <v>51</v>
      </c>
      <c r="F26" s="64">
        <f>F23+F25</f>
        <v>-16.568342152301852</v>
      </c>
      <c r="G26" s="64">
        <f t="shared" ref="G26:Z26" si="6">G23+G25</f>
        <v>88.541609817100834</v>
      </c>
      <c r="H26" s="64">
        <f t="shared" si="6"/>
        <v>193.65156178650352</v>
      </c>
      <c r="I26" s="64">
        <f t="shared" si="6"/>
        <v>298.76151375590604</v>
      </c>
      <c r="J26" s="64">
        <f t="shared" si="6"/>
        <v>403.87146572530889</v>
      </c>
      <c r="K26" s="64">
        <f t="shared" si="6"/>
        <v>508.98141769471147</v>
      </c>
      <c r="L26" s="64">
        <f t="shared" si="6"/>
        <v>614.09136966411393</v>
      </c>
      <c r="M26" s="64">
        <f t="shared" si="6"/>
        <v>719.20132163351684</v>
      </c>
      <c r="N26" s="64">
        <f t="shared" si="6"/>
        <v>824.31127360291964</v>
      </c>
      <c r="O26" s="64">
        <f t="shared" si="6"/>
        <v>929.42122557232199</v>
      </c>
      <c r="P26" s="64">
        <f t="shared" si="6"/>
        <v>1034.5311775417249</v>
      </c>
      <c r="Q26" s="64">
        <f t="shared" si="6"/>
        <v>1139.6411295111279</v>
      </c>
      <c r="R26" s="64">
        <f t="shared" si="6"/>
        <v>1244.7510814805298</v>
      </c>
      <c r="S26" s="64">
        <f t="shared" si="6"/>
        <v>1349.8610334499328</v>
      </c>
      <c r="T26" s="64">
        <f t="shared" si="6"/>
        <v>1454.9709854193356</v>
      </c>
      <c r="U26" s="64">
        <f t="shared" si="6"/>
        <v>1560.0809373887378</v>
      </c>
      <c r="V26" s="64">
        <f t="shared" si="6"/>
        <v>1665.1908893581412</v>
      </c>
      <c r="W26" s="64">
        <f t="shared" si="6"/>
        <v>1770.3008413275434</v>
      </c>
      <c r="X26" s="64">
        <f t="shared" si="6"/>
        <v>1875.4107932969459</v>
      </c>
      <c r="Y26" s="64">
        <f t="shared" si="6"/>
        <v>1980.520745266349</v>
      </c>
      <c r="Z26" s="64">
        <f t="shared" si="6"/>
        <v>2085.6306972357515</v>
      </c>
      <c r="AA26" s="64"/>
      <c r="AB26" s="62">
        <f t="shared" ref="AB26" si="7">AB23+AB25</f>
        <v>-13.747786974543317</v>
      </c>
    </row>
    <row r="27" spans="2:28" ht="11.45" customHeight="1" thickBot="1" x14ac:dyDescent="0.25">
      <c r="B27" s="7"/>
      <c r="C27" s="8"/>
      <c r="D27" s="8"/>
      <c r="E27" s="8"/>
      <c r="F27" s="8"/>
      <c r="G27" s="8"/>
      <c r="H27" s="8"/>
      <c r="I27" s="8"/>
      <c r="J27" s="8"/>
      <c r="K27" s="8"/>
      <c r="L27" s="8"/>
      <c r="M27" s="8"/>
      <c r="N27" s="8"/>
      <c r="O27" s="8"/>
      <c r="P27" s="8"/>
      <c r="Q27" s="8"/>
      <c r="R27" s="8"/>
      <c r="S27" s="8"/>
      <c r="T27" s="8"/>
      <c r="U27" s="8"/>
      <c r="V27" s="8"/>
      <c r="W27" s="8"/>
      <c r="X27" s="8"/>
      <c r="Y27" s="8"/>
      <c r="Z27" s="8"/>
      <c r="AA27" s="8"/>
      <c r="AB27" s="9"/>
    </row>
    <row r="29" spans="2:28" ht="6.6" customHeight="1" x14ac:dyDescent="0.2"/>
    <row r="34" spans="4:4" ht="6" customHeight="1" x14ac:dyDescent="0.2"/>
    <row r="35" spans="4:4" ht="15.95" customHeight="1" x14ac:dyDescent="0.2"/>
    <row r="36" spans="4:4" ht="15" customHeight="1" x14ac:dyDescent="0.2"/>
    <row r="37" spans="4:4" x14ac:dyDescent="0.2">
      <c r="D37" t="s">
        <v>28</v>
      </c>
    </row>
    <row r="38" spans="4:4" ht="12.6" customHeight="1" x14ac:dyDescent="0.2"/>
    <row r="39" spans="4:4" ht="23.45" customHeight="1" x14ac:dyDescent="0.2">
      <c r="D39" t="s">
        <v>70</v>
      </c>
    </row>
    <row r="40" spans="4:4" ht="1.5" customHeight="1" x14ac:dyDescent="0.2"/>
    <row r="41" spans="4:4" x14ac:dyDescent="0.2">
      <c r="D41" t="s">
        <v>71</v>
      </c>
    </row>
    <row r="43" spans="4:4" ht="6.6" customHeight="1" x14ac:dyDescent="0.2"/>
    <row r="47" spans="4:4" ht="12.6" customHeight="1" x14ac:dyDescent="0.2"/>
    <row r="48" spans="4:4" ht="35.450000000000003" customHeight="1" x14ac:dyDescent="0.2"/>
    <row r="49" spans="4:12" ht="12.95" customHeight="1" x14ac:dyDescent="0.2"/>
    <row r="50" spans="4:12" ht="12.95" customHeight="1" x14ac:dyDescent="0.2"/>
    <row r="51" spans="4:12" ht="35.450000000000003" customHeight="1" x14ac:dyDescent="0.2"/>
    <row r="52" spans="4:12" ht="6" customHeight="1" thickBot="1" x14ac:dyDescent="0.25">
      <c r="D52" s="36"/>
    </row>
    <row r="54" spans="4:12" x14ac:dyDescent="0.2">
      <c r="L54" s="13"/>
    </row>
    <row r="55" spans="4:12" x14ac:dyDescent="0.2">
      <c r="E55" s="16"/>
      <c r="F55" s="16"/>
      <c r="I55" s="16"/>
    </row>
    <row r="58" spans="4:12" x14ac:dyDescent="0.2">
      <c r="I58" s="13"/>
    </row>
    <row r="59" spans="4:12" x14ac:dyDescent="0.2">
      <c r="I59" s="13"/>
    </row>
    <row r="60" spans="4:12" x14ac:dyDescent="0.2">
      <c r="I60" s="13"/>
    </row>
    <row r="61" spans="4:12" x14ac:dyDescent="0.2">
      <c r="E61" s="14"/>
      <c r="I61" s="13"/>
    </row>
    <row r="62" spans="4:12" x14ac:dyDescent="0.2">
      <c r="I62" s="13"/>
    </row>
    <row r="67" spans="10:11" x14ac:dyDescent="0.2">
      <c r="J67" s="16"/>
      <c r="K67" s="16"/>
    </row>
  </sheetData>
  <sheetProtection formatCells="0" formatColumns="0" formatRows="0" insertColumns="0" insertRows="0" insertHyperlinks="0" selectLockedCells="1" sort="0" autoFilter="0" pivotTables="0"/>
  <dataConsolidate/>
  <pageMargins left="0.70866141732283472" right="0.70866141732283472" top="0.74803149606299213" bottom="0.74803149606299213" header="0.31496062992125984" footer="0.31496062992125984"/>
  <pageSetup paperSize="9" scale="76" orientation="landscape" horizontalDpi="360" verticalDpi="360" r:id="rId1"/>
  <headerFooter>
    <oddHeader>&amp;LPhosphate Budget Calculator&amp;CStage 4</oddHeader>
    <oddFooter>&amp;LVersion 2.2&amp;R&amp;D</oddFooter>
  </headerFooter>
  <customProperties>
    <customPr name="SSC_SHEET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F8EAF-343D-4DA7-8687-7144E17E3D7D}">
  <sheetPr>
    <tabColor theme="9" tint="0.79998168889431442"/>
  </sheetPr>
  <dimension ref="A1:R3"/>
  <sheetViews>
    <sheetView topLeftCell="A16" zoomScaleNormal="100" workbookViewId="0">
      <selection activeCell="A2" sqref="A2:R3"/>
    </sheetView>
  </sheetViews>
  <sheetFormatPr defaultRowHeight="12.75" x14ac:dyDescent="0.2"/>
  <sheetData>
    <row r="1" spans="1:18" x14ac:dyDescent="0.2">
      <c r="A1" s="40" t="s">
        <v>602</v>
      </c>
    </row>
    <row r="2" spans="1:18" x14ac:dyDescent="0.2">
      <c r="A2" s="455" t="s">
        <v>606</v>
      </c>
      <c r="B2" s="455"/>
      <c r="C2" s="455"/>
      <c r="D2" s="455"/>
      <c r="E2" s="455"/>
      <c r="F2" s="455"/>
      <c r="G2" s="455"/>
      <c r="H2" s="455"/>
      <c r="I2" s="455"/>
      <c r="J2" s="455"/>
      <c r="K2" s="455"/>
      <c r="L2" s="455"/>
      <c r="M2" s="455"/>
      <c r="N2" s="455"/>
      <c r="O2" s="455"/>
      <c r="P2" s="455"/>
      <c r="Q2" s="455"/>
      <c r="R2" s="455"/>
    </row>
    <row r="3" spans="1:18" ht="37.5" customHeight="1" x14ac:dyDescent="0.2">
      <c r="A3" s="455"/>
      <c r="B3" s="455"/>
      <c r="C3" s="455"/>
      <c r="D3" s="455"/>
      <c r="E3" s="455"/>
      <c r="F3" s="455"/>
      <c r="G3" s="455"/>
      <c r="H3" s="455"/>
      <c r="I3" s="455"/>
      <c r="J3" s="455"/>
      <c r="K3" s="455"/>
      <c r="L3" s="455"/>
      <c r="M3" s="455"/>
      <c r="N3" s="455"/>
      <c r="O3" s="455"/>
      <c r="P3" s="455"/>
      <c r="Q3" s="455"/>
      <c r="R3" s="455"/>
    </row>
  </sheetData>
  <sheetProtection algorithmName="SHA-512" hashValue="SRV5xmZSs/bMHpzhNU5j8H8SpCwimxjPjF3KsRbJORr3/+I0zXNZ+4r0JicCIQUgdSeXo0zG3IqRdfidJfx3IQ==" saltValue="wsae/1ukfaXiop+3B2pjmw==" spinCount="100000" sheet="1" objects="1" scenarios="1" selectLockedCells="1"/>
  <mergeCells count="1">
    <mergeCell ref="A2:R3"/>
  </mergeCells>
  <pageMargins left="0.7" right="0.7" top="0.75" bottom="0.75" header="0.3" footer="0.3"/>
  <customProperties>
    <customPr name="SSC_SHEET_GUID" r:id="rId1"/>
  </customPropertie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DAD86-A958-4CDE-8DE8-EDCBC1121D46}">
  <dimension ref="B2:BG924"/>
  <sheetViews>
    <sheetView topLeftCell="W36" zoomScaleNormal="100" workbookViewId="0">
      <selection activeCell="AF50" sqref="AF50"/>
    </sheetView>
  </sheetViews>
  <sheetFormatPr defaultRowHeight="12.75" x14ac:dyDescent="0.2"/>
  <cols>
    <col min="2" max="2" width="35.5703125" customWidth="1"/>
    <col min="3" max="3" width="10.85546875" customWidth="1"/>
    <col min="4" max="5" width="14" customWidth="1"/>
    <col min="6" max="8" width="12.42578125" customWidth="1"/>
    <col min="9" max="9" width="14" customWidth="1"/>
    <col min="10" max="11" width="12.5703125" customWidth="1"/>
    <col min="12" max="12" width="6.85546875" customWidth="1"/>
    <col min="13" max="13" width="5.5703125" customWidth="1"/>
    <col min="14" max="14" width="11.7109375" customWidth="1"/>
    <col min="15" max="15" width="12.42578125" customWidth="1"/>
    <col min="16" max="16" width="15.5703125" customWidth="1"/>
    <col min="17" max="17" width="5.5703125" customWidth="1"/>
    <col min="18" max="18" width="16.140625" customWidth="1"/>
    <col min="19" max="19" width="6.85546875" customWidth="1"/>
    <col min="20" max="20" width="7.140625" customWidth="1"/>
    <col min="21" max="21" width="9.7109375" customWidth="1"/>
    <col min="22" max="22" width="8.85546875" customWidth="1"/>
    <col min="23" max="24" width="7.85546875" customWidth="1"/>
    <col min="25" max="25" width="8" customWidth="1"/>
    <col min="26" max="26" width="9.42578125" customWidth="1"/>
    <col min="27" max="27" width="7.85546875" customWidth="1"/>
    <col min="28" max="28" width="9.5703125" customWidth="1"/>
    <col min="29" max="29" width="7.5703125" customWidth="1"/>
    <col min="30" max="30" width="7.42578125" customWidth="1"/>
    <col min="31" max="31" width="6.28515625" customWidth="1"/>
    <col min="32" max="32" width="6.85546875" customWidth="1"/>
    <col min="33" max="33" width="7.5703125" customWidth="1"/>
    <col min="34" max="34" width="6.5703125" customWidth="1"/>
    <col min="35" max="35" width="7.5703125" customWidth="1"/>
    <col min="36" max="36" width="8.28515625" customWidth="1"/>
    <col min="42" max="42" width="7.5703125" customWidth="1"/>
  </cols>
  <sheetData>
    <row r="2" spans="2:59" ht="54.95" customHeight="1" thickBot="1" x14ac:dyDescent="0.25">
      <c r="B2" s="76" t="s">
        <v>540</v>
      </c>
      <c r="C2" s="77" t="s">
        <v>575</v>
      </c>
      <c r="D2" s="78" t="s">
        <v>574</v>
      </c>
      <c r="E2" s="78" t="s">
        <v>573</v>
      </c>
      <c r="F2" s="78" t="s">
        <v>63</v>
      </c>
      <c r="G2" s="78" t="s">
        <v>571</v>
      </c>
      <c r="H2" s="78" t="s">
        <v>570</v>
      </c>
      <c r="I2" s="78" t="s">
        <v>568</v>
      </c>
      <c r="J2" s="133" t="s">
        <v>569</v>
      </c>
      <c r="K2" s="133" t="s">
        <v>572</v>
      </c>
      <c r="L2" s="40"/>
      <c r="M2" s="40"/>
      <c r="N2" s="75" t="s">
        <v>47</v>
      </c>
      <c r="O2" s="79" t="s">
        <v>46</v>
      </c>
      <c r="P2" s="79" t="s">
        <v>394</v>
      </c>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row>
    <row r="3" spans="2:59" ht="15" customHeight="1" thickBot="1" x14ac:dyDescent="0.3">
      <c r="B3" s="80" t="s">
        <v>272</v>
      </c>
      <c r="C3" s="81" t="s">
        <v>13</v>
      </c>
      <c r="D3" s="82">
        <v>1.57</v>
      </c>
      <c r="E3" s="83">
        <f>25</f>
        <v>25</v>
      </c>
      <c r="F3" s="84" t="s">
        <v>13</v>
      </c>
      <c r="G3" s="85">
        <v>1.57</v>
      </c>
      <c r="H3" s="83">
        <v>25</v>
      </c>
      <c r="I3" s="84" t="s">
        <v>13</v>
      </c>
      <c r="J3" s="134">
        <f t="shared" ref="J3:J34" si="0">0.25*0.9</f>
        <v>0.22500000000000001</v>
      </c>
      <c r="K3" s="134">
        <f>10*0.9</f>
        <v>9</v>
      </c>
      <c r="L3" s="40"/>
      <c r="M3" s="40"/>
      <c r="N3" s="86" t="s">
        <v>21</v>
      </c>
      <c r="O3" s="87">
        <v>0.45</v>
      </c>
      <c r="P3" s="42">
        <v>25.03</v>
      </c>
      <c r="Q3" s="88"/>
      <c r="R3" s="75" t="s">
        <v>385</v>
      </c>
      <c r="S3" s="459" t="s">
        <v>389</v>
      </c>
      <c r="T3" s="460"/>
      <c r="U3" s="460"/>
      <c r="V3" s="460"/>
      <c r="W3" s="460"/>
      <c r="X3" s="461"/>
      <c r="Y3" s="459" t="s">
        <v>390</v>
      </c>
      <c r="Z3" s="460"/>
      <c r="AA3" s="460"/>
      <c r="AB3" s="460"/>
      <c r="AC3" s="460"/>
      <c r="AD3" s="461"/>
      <c r="AE3" s="459" t="s">
        <v>391</v>
      </c>
      <c r="AF3" s="460"/>
      <c r="AG3" s="460"/>
      <c r="AH3" s="460"/>
      <c r="AI3" s="460"/>
      <c r="AJ3" s="461"/>
      <c r="AK3" s="40"/>
      <c r="AL3" s="75" t="s">
        <v>385</v>
      </c>
      <c r="AM3" s="456" t="s">
        <v>389</v>
      </c>
      <c r="AN3" s="457"/>
      <c r="AO3" s="457"/>
      <c r="AP3" s="457"/>
      <c r="AQ3" s="457"/>
      <c r="AR3" s="458"/>
      <c r="AS3" s="456" t="s">
        <v>390</v>
      </c>
      <c r="AT3" s="457"/>
      <c r="AU3" s="457"/>
      <c r="AV3" s="457"/>
      <c r="AW3" s="457"/>
      <c r="AX3" s="458"/>
      <c r="AY3" s="456" t="s">
        <v>391</v>
      </c>
      <c r="AZ3" s="457"/>
      <c r="BA3" s="457"/>
      <c r="BB3" s="457"/>
      <c r="BC3" s="457"/>
      <c r="BD3" s="458"/>
      <c r="BE3" s="74"/>
      <c r="BF3" s="74"/>
      <c r="BG3" s="74"/>
    </row>
    <row r="4" spans="2:59" ht="41.45" customHeight="1" thickBot="1" x14ac:dyDescent="0.3">
      <c r="B4" s="89" t="s">
        <v>273</v>
      </c>
      <c r="C4" s="81" t="s">
        <v>62</v>
      </c>
      <c r="D4" s="82">
        <f>IF(Table1[[#This Row],[2022 Value known?]]="No",6,0)</f>
        <v>6</v>
      </c>
      <c r="E4" s="83">
        <f>25</f>
        <v>25</v>
      </c>
      <c r="F4" s="84" t="s">
        <v>62</v>
      </c>
      <c r="G4" s="85">
        <f>IF(Table1[[#This Row],[2025 Value known?]]="No",6,0)</f>
        <v>6</v>
      </c>
      <c r="H4" s="83">
        <v>25</v>
      </c>
      <c r="I4" s="84" t="s">
        <v>13</v>
      </c>
      <c r="J4" s="135">
        <f t="shared" si="0"/>
        <v>0.22500000000000001</v>
      </c>
      <c r="K4" s="134">
        <f t="shared" ref="K4:K65" si="1">10*0.9</f>
        <v>9</v>
      </c>
      <c r="L4" s="40"/>
      <c r="M4" s="40"/>
      <c r="N4" s="86" t="s">
        <v>401</v>
      </c>
      <c r="O4" s="87">
        <v>0.02</v>
      </c>
      <c r="P4" s="42">
        <v>3</v>
      </c>
      <c r="Q4" s="88"/>
      <c r="R4" s="178" t="s">
        <v>77</v>
      </c>
      <c r="S4" s="473" t="s">
        <v>78</v>
      </c>
      <c r="T4" s="474"/>
      <c r="U4" s="466" t="s">
        <v>253</v>
      </c>
      <c r="V4" s="466"/>
      <c r="W4" s="466" t="s">
        <v>254</v>
      </c>
      <c r="X4" s="467"/>
      <c r="Y4" s="468" t="s">
        <v>78</v>
      </c>
      <c r="Z4" s="466"/>
      <c r="AA4" s="466" t="s">
        <v>253</v>
      </c>
      <c r="AB4" s="466"/>
      <c r="AC4" s="466" t="s">
        <v>254</v>
      </c>
      <c r="AD4" s="467"/>
      <c r="AE4" s="469" t="s">
        <v>78</v>
      </c>
      <c r="AF4" s="466"/>
      <c r="AG4" s="466" t="s">
        <v>253</v>
      </c>
      <c r="AH4" s="466"/>
      <c r="AI4" s="466" t="s">
        <v>254</v>
      </c>
      <c r="AJ4" s="467"/>
      <c r="AK4" s="40"/>
      <c r="AL4" s="160" t="s">
        <v>77</v>
      </c>
      <c r="AM4" s="475" t="s">
        <v>78</v>
      </c>
      <c r="AN4" s="476"/>
      <c r="AO4" s="464" t="s">
        <v>253</v>
      </c>
      <c r="AP4" s="463"/>
      <c r="AQ4" s="464" t="s">
        <v>254</v>
      </c>
      <c r="AR4" s="465"/>
      <c r="AS4" s="462" t="s">
        <v>78</v>
      </c>
      <c r="AT4" s="463"/>
      <c r="AU4" s="464" t="s">
        <v>253</v>
      </c>
      <c r="AV4" s="463"/>
      <c r="AW4" s="464" t="s">
        <v>254</v>
      </c>
      <c r="AX4" s="465"/>
      <c r="AY4" s="462" t="s">
        <v>78</v>
      </c>
      <c r="AZ4" s="463"/>
      <c r="BA4" s="464" t="s">
        <v>253</v>
      </c>
      <c r="BB4" s="463"/>
      <c r="BC4" s="464" t="s">
        <v>254</v>
      </c>
      <c r="BD4" s="465"/>
      <c r="BE4" s="73"/>
      <c r="BF4" s="73"/>
      <c r="BG4" s="73"/>
    </row>
    <row r="5" spans="2:59" ht="15" customHeight="1" x14ac:dyDescent="0.2">
      <c r="B5" s="89" t="s">
        <v>274</v>
      </c>
      <c r="C5" s="81" t="s">
        <v>62</v>
      </c>
      <c r="D5" s="82">
        <f>IF(Table1[[#This Row],[2022 Value known?]]="No",6,0)</f>
        <v>6</v>
      </c>
      <c r="E5" s="83">
        <f>25</f>
        <v>25</v>
      </c>
      <c r="F5" s="84" t="s">
        <v>62</v>
      </c>
      <c r="G5" s="85">
        <f>IF(Table1[[#This Row],[2025 Value known?]]="No",6,0)</f>
        <v>6</v>
      </c>
      <c r="H5" s="83">
        <v>25</v>
      </c>
      <c r="I5" s="84" t="s">
        <v>13</v>
      </c>
      <c r="J5" s="135">
        <f t="shared" si="0"/>
        <v>0.22500000000000001</v>
      </c>
      <c r="K5" s="134">
        <f t="shared" si="1"/>
        <v>9</v>
      </c>
      <c r="L5" s="40"/>
      <c r="M5" s="40"/>
      <c r="N5" s="86" t="s">
        <v>34</v>
      </c>
      <c r="O5" s="87">
        <v>0.02</v>
      </c>
      <c r="P5" s="42">
        <v>3</v>
      </c>
      <c r="Q5" s="88"/>
      <c r="R5" s="179" t="s">
        <v>23</v>
      </c>
      <c r="S5" s="177">
        <v>0.14000000000000001</v>
      </c>
      <c r="T5" s="158">
        <v>0.14000000000000001</v>
      </c>
      <c r="U5" s="158">
        <v>0.19</v>
      </c>
      <c r="V5" s="158">
        <v>0.19</v>
      </c>
      <c r="W5" s="158">
        <v>0.5</v>
      </c>
      <c r="X5" s="159">
        <v>0.51</v>
      </c>
      <c r="Y5" s="177">
        <v>0.14000000000000001</v>
      </c>
      <c r="Z5" s="158">
        <v>0.14000000000000001</v>
      </c>
      <c r="AA5" s="158">
        <v>0.19</v>
      </c>
      <c r="AB5" s="158">
        <v>0.19</v>
      </c>
      <c r="AC5" s="158">
        <v>0.5</v>
      </c>
      <c r="AD5" s="159">
        <v>0.51</v>
      </c>
      <c r="AE5" s="174">
        <v>1.31</v>
      </c>
      <c r="AF5" s="158">
        <v>0.98</v>
      </c>
      <c r="AG5" s="158">
        <v>0.41</v>
      </c>
      <c r="AH5" s="158">
        <v>0.41</v>
      </c>
      <c r="AI5" s="158">
        <v>0.83</v>
      </c>
      <c r="AJ5" s="159">
        <v>0.84</v>
      </c>
      <c r="AK5" s="40"/>
      <c r="AL5" s="163" t="s">
        <v>23</v>
      </c>
      <c r="AM5" s="167">
        <v>35.869999999999997</v>
      </c>
      <c r="AN5" s="167">
        <v>35.869999999999997</v>
      </c>
      <c r="AO5" s="167">
        <v>12.05</v>
      </c>
      <c r="AP5" s="167">
        <v>12.15</v>
      </c>
      <c r="AQ5" s="167">
        <v>11.17</v>
      </c>
      <c r="AR5" s="167">
        <v>11.3</v>
      </c>
      <c r="AS5" s="167">
        <v>35.869999999999997</v>
      </c>
      <c r="AT5" s="167">
        <v>35.869999999999997</v>
      </c>
      <c r="AU5" s="167">
        <v>12.05</v>
      </c>
      <c r="AV5" s="167">
        <v>12.15</v>
      </c>
      <c r="AW5" s="167">
        <v>11.17</v>
      </c>
      <c r="AX5" s="167">
        <v>11.3</v>
      </c>
      <c r="AY5" s="167">
        <v>22.54</v>
      </c>
      <c r="AZ5" s="167">
        <v>18.100000000000001</v>
      </c>
      <c r="BA5" s="167">
        <v>17.170000000000002</v>
      </c>
      <c r="BB5" s="167">
        <v>17.32</v>
      </c>
      <c r="BC5" s="167">
        <v>12.96</v>
      </c>
      <c r="BD5" s="168">
        <v>13.11</v>
      </c>
      <c r="BE5" s="13"/>
      <c r="BF5" s="13"/>
      <c r="BG5" s="13"/>
    </row>
    <row r="6" spans="2:59" ht="15" customHeight="1" x14ac:dyDescent="0.2">
      <c r="B6" s="89" t="s">
        <v>275</v>
      </c>
      <c r="C6" s="81" t="s">
        <v>13</v>
      </c>
      <c r="D6" s="139">
        <f>1*0.9</f>
        <v>0.9</v>
      </c>
      <c r="E6" s="83">
        <f>25</f>
        <v>25</v>
      </c>
      <c r="F6" s="84" t="s">
        <v>13</v>
      </c>
      <c r="G6" s="141">
        <f>0.6*0.9</f>
        <v>0.54</v>
      </c>
      <c r="H6" s="83">
        <v>25</v>
      </c>
      <c r="I6" s="84" t="s">
        <v>13</v>
      </c>
      <c r="J6" s="135">
        <f t="shared" si="0"/>
        <v>0.22500000000000001</v>
      </c>
      <c r="K6" s="134">
        <f t="shared" si="1"/>
        <v>9</v>
      </c>
      <c r="L6" s="40"/>
      <c r="M6" s="40"/>
      <c r="N6" s="86" t="s">
        <v>235</v>
      </c>
      <c r="O6" s="87">
        <v>0.02</v>
      </c>
      <c r="P6" s="42">
        <v>3</v>
      </c>
      <c r="Q6" s="88"/>
      <c r="R6" s="180" t="s">
        <v>251</v>
      </c>
      <c r="S6" s="173">
        <v>0.06</v>
      </c>
      <c r="T6" s="152">
        <v>0.06</v>
      </c>
      <c r="U6" s="152">
        <v>0.11</v>
      </c>
      <c r="V6" s="152">
        <v>0.11</v>
      </c>
      <c r="W6" s="152">
        <v>0.43</v>
      </c>
      <c r="X6" s="154">
        <v>0.5</v>
      </c>
      <c r="Y6" s="173">
        <v>0.06</v>
      </c>
      <c r="Z6" s="152">
        <v>0.06</v>
      </c>
      <c r="AA6" s="152">
        <v>0.11</v>
      </c>
      <c r="AB6" s="152">
        <v>0.11</v>
      </c>
      <c r="AC6" s="152">
        <v>0.43</v>
      </c>
      <c r="AD6" s="154">
        <v>0.5</v>
      </c>
      <c r="AE6" s="175">
        <v>0.11</v>
      </c>
      <c r="AF6" s="152">
        <v>0.16</v>
      </c>
      <c r="AG6" s="152">
        <v>0.22</v>
      </c>
      <c r="AH6" s="152">
        <v>0.22</v>
      </c>
      <c r="AI6" s="152">
        <v>0.68</v>
      </c>
      <c r="AJ6" s="154">
        <v>0.68</v>
      </c>
      <c r="AK6" s="40"/>
      <c r="AL6" s="153" t="s">
        <v>251</v>
      </c>
      <c r="AM6" s="166">
        <v>12.94</v>
      </c>
      <c r="AN6" s="166">
        <v>13.02</v>
      </c>
      <c r="AO6" s="166">
        <v>8.8699999999999992</v>
      </c>
      <c r="AP6" s="166">
        <v>8.93</v>
      </c>
      <c r="AQ6" s="166">
        <v>7.97</v>
      </c>
      <c r="AR6" s="166">
        <v>9.68</v>
      </c>
      <c r="AS6" s="166">
        <v>12.94</v>
      </c>
      <c r="AT6" s="166">
        <v>13.02</v>
      </c>
      <c r="AU6" s="166">
        <v>8.8699999999999992</v>
      </c>
      <c r="AV6" s="166">
        <v>8.93</v>
      </c>
      <c r="AW6" s="166">
        <v>7.97</v>
      </c>
      <c r="AX6" s="166">
        <v>9.68</v>
      </c>
      <c r="AY6" s="166">
        <v>17.55</v>
      </c>
      <c r="AZ6" s="166">
        <v>22.39</v>
      </c>
      <c r="BA6" s="166">
        <v>13.66</v>
      </c>
      <c r="BB6" s="166">
        <v>13.75</v>
      </c>
      <c r="BC6" s="166">
        <v>9.6199999999999992</v>
      </c>
      <c r="BD6" s="169">
        <v>9.65</v>
      </c>
      <c r="BE6" s="13"/>
      <c r="BF6" s="13"/>
      <c r="BG6" s="13"/>
    </row>
    <row r="7" spans="2:59" ht="15" customHeight="1" x14ac:dyDescent="0.2">
      <c r="B7" s="89" t="s">
        <v>276</v>
      </c>
      <c r="C7" s="81" t="s">
        <v>62</v>
      </c>
      <c r="D7" s="82">
        <f>IF(Table1[[#This Row],[2022 Value known?]]="No",6,0)</f>
        <v>6</v>
      </c>
      <c r="E7" s="83">
        <f>25</f>
        <v>25</v>
      </c>
      <c r="F7" s="84" t="s">
        <v>62</v>
      </c>
      <c r="G7" s="85">
        <f>IF(Table1[[#This Row],[2025 Value known?]]="No",6,0)</f>
        <v>6</v>
      </c>
      <c r="H7" s="83">
        <v>25</v>
      </c>
      <c r="I7" s="84" t="s">
        <v>13</v>
      </c>
      <c r="J7" s="135">
        <f t="shared" si="0"/>
        <v>0.22500000000000001</v>
      </c>
      <c r="K7" s="134">
        <f t="shared" si="1"/>
        <v>9</v>
      </c>
      <c r="L7" s="40"/>
      <c r="M7" s="40"/>
      <c r="N7" s="86" t="s">
        <v>400</v>
      </c>
      <c r="O7" s="87">
        <v>0</v>
      </c>
      <c r="P7" s="42">
        <v>0</v>
      </c>
      <c r="Q7" s="40"/>
      <c r="R7" s="180" t="s">
        <v>133</v>
      </c>
      <c r="S7" s="173">
        <v>0.06</v>
      </c>
      <c r="T7" s="152">
        <v>0.06</v>
      </c>
      <c r="U7" s="152">
        <v>0.28000000000000003</v>
      </c>
      <c r="V7" s="152">
        <v>0.28999999999999998</v>
      </c>
      <c r="W7" s="152">
        <v>0.55000000000000004</v>
      </c>
      <c r="X7" s="154">
        <v>0.6</v>
      </c>
      <c r="Y7" s="173">
        <v>0.06</v>
      </c>
      <c r="Z7" s="152">
        <v>0.06</v>
      </c>
      <c r="AA7" s="152">
        <v>0.28000000000000003</v>
      </c>
      <c r="AB7" s="152">
        <v>0.28999999999999998</v>
      </c>
      <c r="AC7" s="152">
        <v>0.55000000000000004</v>
      </c>
      <c r="AD7" s="154">
        <v>0.6</v>
      </c>
      <c r="AE7" s="175">
        <v>0.14000000000000001</v>
      </c>
      <c r="AF7" s="152">
        <v>0.18</v>
      </c>
      <c r="AG7" s="152">
        <v>0.6</v>
      </c>
      <c r="AH7" s="152">
        <v>0.6</v>
      </c>
      <c r="AI7" s="152">
        <v>0.94</v>
      </c>
      <c r="AJ7" s="154">
        <v>0.95</v>
      </c>
      <c r="AK7" s="40"/>
      <c r="AL7" s="153" t="s">
        <v>133</v>
      </c>
      <c r="AM7" s="166">
        <v>27.33</v>
      </c>
      <c r="AN7" s="166">
        <v>27.39</v>
      </c>
      <c r="AO7" s="166">
        <v>18.760000000000002</v>
      </c>
      <c r="AP7" s="166">
        <v>18.96</v>
      </c>
      <c r="AQ7" s="166">
        <v>18.829999999999998</v>
      </c>
      <c r="AR7" s="166">
        <v>21.55</v>
      </c>
      <c r="AS7" s="166">
        <v>27.33</v>
      </c>
      <c r="AT7" s="166">
        <v>27.39</v>
      </c>
      <c r="AU7" s="166">
        <v>18.760000000000002</v>
      </c>
      <c r="AV7" s="166">
        <v>18.96</v>
      </c>
      <c r="AW7" s="166">
        <v>18.829999999999998</v>
      </c>
      <c r="AX7" s="166">
        <v>21.55</v>
      </c>
      <c r="AY7" s="166">
        <v>33.11</v>
      </c>
      <c r="AZ7" s="166">
        <v>38.380000000000003</v>
      </c>
      <c r="BA7" s="166">
        <v>24.06</v>
      </c>
      <c r="BB7" s="166">
        <v>24.32</v>
      </c>
      <c r="BC7" s="166">
        <v>20.64</v>
      </c>
      <c r="BD7" s="169">
        <v>20.98</v>
      </c>
      <c r="BE7" s="13"/>
      <c r="BF7" s="13"/>
      <c r="BG7" s="13"/>
    </row>
    <row r="8" spans="2:59" ht="15" customHeight="1" x14ac:dyDescent="0.2">
      <c r="B8" s="90" t="s">
        <v>277</v>
      </c>
      <c r="C8" s="81" t="s">
        <v>62</v>
      </c>
      <c r="D8" s="82">
        <f>IF(Table1[[#This Row],[2022 Value known?]]="No",6,0)</f>
        <v>6</v>
      </c>
      <c r="E8" s="83">
        <f>25</f>
        <v>25</v>
      </c>
      <c r="F8" s="84" t="s">
        <v>62</v>
      </c>
      <c r="G8" s="85">
        <f>IF(Table1[[#This Row],[2025 Value known?]]="No",6,0)</f>
        <v>6</v>
      </c>
      <c r="H8" s="83">
        <v>25</v>
      </c>
      <c r="I8" s="84" t="s">
        <v>13</v>
      </c>
      <c r="J8" s="135">
        <f t="shared" si="0"/>
        <v>0.22500000000000001</v>
      </c>
      <c r="K8" s="134">
        <f t="shared" si="1"/>
        <v>9</v>
      </c>
      <c r="L8" s="40"/>
      <c r="M8" s="40"/>
      <c r="N8" s="86" t="s">
        <v>32</v>
      </c>
      <c r="O8" s="87">
        <v>-8</v>
      </c>
      <c r="P8" s="42">
        <v>-930</v>
      </c>
      <c r="Q8" s="40"/>
      <c r="R8" s="180" t="s">
        <v>252</v>
      </c>
      <c r="S8" s="173">
        <v>0.17</v>
      </c>
      <c r="T8" s="152">
        <v>0.12</v>
      </c>
      <c r="U8" s="152">
        <v>0.35</v>
      </c>
      <c r="V8" s="152">
        <v>0.38</v>
      </c>
      <c r="W8" s="152">
        <v>0.71</v>
      </c>
      <c r="X8" s="154">
        <v>0.68</v>
      </c>
      <c r="Y8" s="173">
        <v>0.17</v>
      </c>
      <c r="Z8" s="152">
        <v>0.12</v>
      </c>
      <c r="AA8" s="152">
        <v>0.35</v>
      </c>
      <c r="AB8" s="152">
        <v>0.38</v>
      </c>
      <c r="AC8" s="152">
        <v>0.71</v>
      </c>
      <c r="AD8" s="154">
        <v>0.68</v>
      </c>
      <c r="AE8" s="175">
        <v>0.26</v>
      </c>
      <c r="AF8" s="152">
        <v>0.37</v>
      </c>
      <c r="AG8" s="152">
        <v>0.7</v>
      </c>
      <c r="AH8" s="152">
        <v>0.74</v>
      </c>
      <c r="AI8" s="152">
        <v>1.08</v>
      </c>
      <c r="AJ8" s="154">
        <v>1.1399999999999999</v>
      </c>
      <c r="AK8" s="40"/>
      <c r="AL8" s="153" t="s">
        <v>252</v>
      </c>
      <c r="AM8" s="166">
        <v>244.3</v>
      </c>
      <c r="AN8" s="166">
        <v>231.58</v>
      </c>
      <c r="AO8" s="166">
        <v>144.04</v>
      </c>
      <c r="AP8" s="166">
        <v>149.96</v>
      </c>
      <c r="AQ8" s="166">
        <v>138.11000000000001</v>
      </c>
      <c r="AR8" s="166">
        <v>140.47</v>
      </c>
      <c r="AS8" s="166">
        <v>244.3</v>
      </c>
      <c r="AT8" s="166">
        <v>231.58</v>
      </c>
      <c r="AU8" s="166">
        <v>144.04</v>
      </c>
      <c r="AV8" s="166">
        <v>149.96</v>
      </c>
      <c r="AW8" s="166">
        <v>138.11000000000001</v>
      </c>
      <c r="AX8" s="166">
        <v>140.47</v>
      </c>
      <c r="AY8" s="166">
        <v>273.57</v>
      </c>
      <c r="AZ8" s="166">
        <v>287.23</v>
      </c>
      <c r="BA8" s="166">
        <v>177.92</v>
      </c>
      <c r="BB8" s="166">
        <v>185.52</v>
      </c>
      <c r="BC8" s="166">
        <v>141.38999999999999</v>
      </c>
      <c r="BD8" s="169">
        <v>152.82</v>
      </c>
      <c r="BE8" s="13"/>
      <c r="BF8" s="13"/>
      <c r="BG8" s="13"/>
    </row>
    <row r="9" spans="2:59" ht="15" customHeight="1" x14ac:dyDescent="0.2">
      <c r="B9" s="90" t="s">
        <v>278</v>
      </c>
      <c r="C9" s="81" t="s">
        <v>62</v>
      </c>
      <c r="D9" s="82">
        <f>IF(Table1[[#This Row],[2022 Value known?]]="No",6,0)</f>
        <v>6</v>
      </c>
      <c r="E9" s="83">
        <f>25</f>
        <v>25</v>
      </c>
      <c r="F9" s="84" t="s">
        <v>62</v>
      </c>
      <c r="G9" s="85">
        <f>IF(Table1[[#This Row],[2025 Value known?]]="No",6,0)</f>
        <v>6</v>
      </c>
      <c r="H9" s="83">
        <v>25</v>
      </c>
      <c r="I9" s="84" t="s">
        <v>13</v>
      </c>
      <c r="J9" s="135">
        <f t="shared" si="0"/>
        <v>0.22500000000000001</v>
      </c>
      <c r="K9" s="134">
        <f t="shared" si="1"/>
        <v>9</v>
      </c>
      <c r="L9" s="40"/>
      <c r="M9" s="40"/>
      <c r="N9" s="86" t="s">
        <v>153</v>
      </c>
      <c r="O9" s="97">
        <v>0.02</v>
      </c>
      <c r="P9" s="42">
        <v>3</v>
      </c>
      <c r="Q9" s="40"/>
      <c r="R9" s="180" t="s">
        <v>388</v>
      </c>
      <c r="S9" s="173">
        <v>7.0000000000000007E-2</v>
      </c>
      <c r="T9" s="152">
        <v>7.0000000000000007E-2</v>
      </c>
      <c r="U9" s="152">
        <v>0.35</v>
      </c>
      <c r="V9" s="152">
        <v>0.38</v>
      </c>
      <c r="W9" s="152">
        <v>0.57999999999999996</v>
      </c>
      <c r="X9" s="154">
        <v>0.68</v>
      </c>
      <c r="Y9" s="173">
        <v>7.0000000000000007E-2</v>
      </c>
      <c r="Z9" s="152">
        <v>7.0000000000000007E-2</v>
      </c>
      <c r="AA9" s="152">
        <v>0.35</v>
      </c>
      <c r="AB9" s="152">
        <v>0.38</v>
      </c>
      <c r="AC9" s="152">
        <v>0.57999999999999996</v>
      </c>
      <c r="AD9" s="154">
        <v>0.68</v>
      </c>
      <c r="AE9" s="175">
        <v>0.17</v>
      </c>
      <c r="AF9" s="152">
        <v>0.23</v>
      </c>
      <c r="AG9" s="152">
        <v>0.72</v>
      </c>
      <c r="AH9" s="152">
        <v>0.76</v>
      </c>
      <c r="AI9" s="152">
        <v>1</v>
      </c>
      <c r="AJ9" s="154">
        <v>1.05</v>
      </c>
      <c r="AK9" s="40"/>
      <c r="AL9" s="153" t="s">
        <v>388</v>
      </c>
      <c r="AM9" s="166">
        <v>93.57</v>
      </c>
      <c r="AN9" s="166">
        <v>93.25</v>
      </c>
      <c r="AO9" s="166">
        <v>59.54</v>
      </c>
      <c r="AP9" s="166">
        <v>61.69</v>
      </c>
      <c r="AQ9" s="166">
        <v>56.34</v>
      </c>
      <c r="AR9" s="166">
        <v>79.38</v>
      </c>
      <c r="AS9" s="166">
        <v>93.57</v>
      </c>
      <c r="AT9" s="166">
        <v>93.25</v>
      </c>
      <c r="AU9" s="166">
        <v>59.54</v>
      </c>
      <c r="AV9" s="166">
        <v>61.69</v>
      </c>
      <c r="AW9" s="166">
        <v>56.34</v>
      </c>
      <c r="AX9" s="166">
        <v>79.38</v>
      </c>
      <c r="AY9" s="166">
        <v>109.91</v>
      </c>
      <c r="AZ9" s="166">
        <v>147.9</v>
      </c>
      <c r="BA9" s="166">
        <v>73.2</v>
      </c>
      <c r="BB9" s="166">
        <v>75.97</v>
      </c>
      <c r="BC9" s="166">
        <v>60.56</v>
      </c>
      <c r="BD9" s="169">
        <v>64.790000000000006</v>
      </c>
      <c r="BE9" s="13"/>
      <c r="BF9" s="13"/>
      <c r="BG9" s="13"/>
    </row>
    <row r="10" spans="2:59" ht="15" customHeight="1" x14ac:dyDescent="0.2">
      <c r="B10" s="89" t="s">
        <v>279</v>
      </c>
      <c r="C10" s="81" t="s">
        <v>13</v>
      </c>
      <c r="D10" s="91">
        <v>1.05</v>
      </c>
      <c r="E10" s="83">
        <f>25</f>
        <v>25</v>
      </c>
      <c r="F10" s="84" t="s">
        <v>13</v>
      </c>
      <c r="G10" s="85">
        <v>1.05</v>
      </c>
      <c r="H10" s="83">
        <v>25</v>
      </c>
      <c r="I10" s="84" t="s">
        <v>13</v>
      </c>
      <c r="J10" s="135">
        <f t="shared" si="0"/>
        <v>0.22500000000000001</v>
      </c>
      <c r="K10" s="134">
        <f t="shared" si="1"/>
        <v>9</v>
      </c>
      <c r="L10" s="40"/>
      <c r="M10" s="40"/>
      <c r="N10" s="132"/>
      <c r="O10" s="125"/>
      <c r="P10" s="88"/>
      <c r="Q10" s="40"/>
      <c r="R10" s="180" t="s">
        <v>22</v>
      </c>
      <c r="S10" s="173">
        <v>0.05</v>
      </c>
      <c r="T10" s="152">
        <v>0.05</v>
      </c>
      <c r="U10" s="152">
        <v>0.33</v>
      </c>
      <c r="V10" s="152">
        <v>0.33</v>
      </c>
      <c r="W10" s="152">
        <v>0.52</v>
      </c>
      <c r="X10" s="154">
        <v>0.53</v>
      </c>
      <c r="Y10" s="173">
        <v>0.05</v>
      </c>
      <c r="Z10" s="152">
        <v>0.05</v>
      </c>
      <c r="AA10" s="152">
        <v>0.33</v>
      </c>
      <c r="AB10" s="152">
        <v>0.33</v>
      </c>
      <c r="AC10" s="152">
        <v>0.52</v>
      </c>
      <c r="AD10" s="154">
        <v>0.53</v>
      </c>
      <c r="AE10" s="175">
        <v>0.14000000000000001</v>
      </c>
      <c r="AF10" s="152">
        <v>0.15</v>
      </c>
      <c r="AG10" s="152">
        <v>0.66</v>
      </c>
      <c r="AH10" s="152">
        <v>0.7</v>
      </c>
      <c r="AI10" s="152">
        <v>0.92</v>
      </c>
      <c r="AJ10" s="154">
        <v>0.97</v>
      </c>
      <c r="AK10" s="40"/>
      <c r="AL10" s="153" t="s">
        <v>22</v>
      </c>
      <c r="AM10" s="166">
        <v>22.09</v>
      </c>
      <c r="AN10" s="166">
        <v>22.39</v>
      </c>
      <c r="AO10" s="166">
        <v>15.49</v>
      </c>
      <c r="AP10" s="166">
        <v>15.52</v>
      </c>
      <c r="AQ10" s="166">
        <v>15.97</v>
      </c>
      <c r="AR10" s="166">
        <v>16</v>
      </c>
      <c r="AS10" s="166">
        <v>22.09</v>
      </c>
      <c r="AT10" s="166">
        <v>22.39</v>
      </c>
      <c r="AU10" s="166">
        <v>15.49</v>
      </c>
      <c r="AV10" s="166">
        <v>15.52</v>
      </c>
      <c r="AW10" s="166">
        <v>15.97</v>
      </c>
      <c r="AX10" s="166">
        <v>16</v>
      </c>
      <c r="AY10" s="166">
        <v>26.42</v>
      </c>
      <c r="AZ10" s="166">
        <v>26.19</v>
      </c>
      <c r="BA10" s="166">
        <v>19.079999999999998</v>
      </c>
      <c r="BB10" s="166">
        <v>19.09</v>
      </c>
      <c r="BC10" s="166">
        <v>17.12</v>
      </c>
      <c r="BD10" s="169">
        <v>17.02</v>
      </c>
      <c r="BE10" s="13"/>
      <c r="BF10" s="13"/>
      <c r="BG10" s="13"/>
    </row>
    <row r="11" spans="2:59" ht="15" customHeight="1" x14ac:dyDescent="0.2">
      <c r="B11" s="89" t="s">
        <v>280</v>
      </c>
      <c r="C11" s="81" t="s">
        <v>62</v>
      </c>
      <c r="D11" s="91">
        <f>IF(Table1[[#This Row],[2022 Value known?]]="No",6,0)</f>
        <v>6</v>
      </c>
      <c r="E11" s="83">
        <f>25</f>
        <v>25</v>
      </c>
      <c r="F11" s="84" t="s">
        <v>62</v>
      </c>
      <c r="G11" s="85">
        <f>IF(Table1[[#This Row],[2025 Value known?]]="No",6,0)</f>
        <v>6</v>
      </c>
      <c r="H11" s="83">
        <v>25</v>
      </c>
      <c r="I11" s="84" t="s">
        <v>13</v>
      </c>
      <c r="J11" s="135">
        <f t="shared" si="0"/>
        <v>0.22500000000000001</v>
      </c>
      <c r="K11" s="134">
        <f t="shared" si="1"/>
        <v>9</v>
      </c>
      <c r="L11" s="40"/>
      <c r="M11" s="40"/>
      <c r="N11" s="40"/>
      <c r="O11" s="94"/>
      <c r="P11" s="88"/>
      <c r="Q11" s="40"/>
      <c r="R11" s="180" t="s">
        <v>387</v>
      </c>
      <c r="S11" s="173">
        <v>0.05</v>
      </c>
      <c r="T11" s="152">
        <v>0.05</v>
      </c>
      <c r="U11" s="152">
        <v>0.34</v>
      </c>
      <c r="V11" s="152">
        <v>0.34</v>
      </c>
      <c r="W11" s="152">
        <v>0.56000000000000005</v>
      </c>
      <c r="X11" s="154">
        <v>0.56000000000000005</v>
      </c>
      <c r="Y11" s="173">
        <v>0.05</v>
      </c>
      <c r="Z11" s="152">
        <v>0.05</v>
      </c>
      <c r="AA11" s="152">
        <v>0.34</v>
      </c>
      <c r="AB11" s="152">
        <v>0.34</v>
      </c>
      <c r="AC11" s="152">
        <v>0.56000000000000005</v>
      </c>
      <c r="AD11" s="154">
        <v>0.56000000000000005</v>
      </c>
      <c r="AE11" s="175">
        <v>0.15</v>
      </c>
      <c r="AF11" s="152">
        <v>0.15</v>
      </c>
      <c r="AG11" s="152">
        <v>0.73</v>
      </c>
      <c r="AH11" s="152">
        <v>0.73</v>
      </c>
      <c r="AI11" s="152">
        <v>0.98</v>
      </c>
      <c r="AJ11" s="154">
        <v>0.98</v>
      </c>
      <c r="AK11" s="40"/>
      <c r="AL11" s="153" t="s">
        <v>387</v>
      </c>
      <c r="AM11" s="166">
        <v>26.47</v>
      </c>
      <c r="AN11" s="166">
        <v>26.54</v>
      </c>
      <c r="AO11" s="166">
        <v>19.11</v>
      </c>
      <c r="AP11" s="166">
        <v>19.16</v>
      </c>
      <c r="AQ11" s="166">
        <v>20.2</v>
      </c>
      <c r="AR11" s="166">
        <v>20.25</v>
      </c>
      <c r="AS11" s="166">
        <v>26.47</v>
      </c>
      <c r="AT11" s="166">
        <v>26.54</v>
      </c>
      <c r="AU11" s="166">
        <v>19.11</v>
      </c>
      <c r="AV11" s="166">
        <v>19.16</v>
      </c>
      <c r="AW11" s="166">
        <v>20.2</v>
      </c>
      <c r="AX11" s="166">
        <v>20.25</v>
      </c>
      <c r="AY11" s="166">
        <v>31.52</v>
      </c>
      <c r="AZ11" s="166">
        <v>31.61</v>
      </c>
      <c r="BA11" s="166">
        <v>23.75</v>
      </c>
      <c r="BB11" s="166">
        <v>23.82</v>
      </c>
      <c r="BC11" s="166">
        <v>21.97</v>
      </c>
      <c r="BD11" s="169">
        <v>22.03</v>
      </c>
      <c r="BE11" s="13"/>
      <c r="BF11" s="13"/>
      <c r="BG11" s="13"/>
    </row>
    <row r="12" spans="2:59" ht="15" customHeight="1" x14ac:dyDescent="0.2">
      <c r="B12" s="90" t="s">
        <v>281</v>
      </c>
      <c r="C12" s="81" t="s">
        <v>62</v>
      </c>
      <c r="D12" s="91">
        <f>IF(Table1[[#This Row],[2022 Value known?]]="No",6,0)</f>
        <v>6</v>
      </c>
      <c r="E12" s="83">
        <f>25</f>
        <v>25</v>
      </c>
      <c r="F12" s="93" t="s">
        <v>62</v>
      </c>
      <c r="G12" s="85">
        <f>IF(Table1[[#This Row],[2025 Value known?]]="No",6,0)</f>
        <v>6</v>
      </c>
      <c r="H12" s="83">
        <v>25</v>
      </c>
      <c r="I12" s="84" t="s">
        <v>13</v>
      </c>
      <c r="J12" s="135">
        <f t="shared" si="0"/>
        <v>0.22500000000000001</v>
      </c>
      <c r="K12" s="134">
        <f t="shared" si="1"/>
        <v>9</v>
      </c>
      <c r="L12" s="40"/>
      <c r="M12" s="40"/>
      <c r="N12" s="40"/>
      <c r="O12" s="94"/>
      <c r="P12" s="88"/>
      <c r="Q12" s="40"/>
      <c r="R12" s="180" t="s">
        <v>93</v>
      </c>
      <c r="S12" s="173">
        <v>0.05</v>
      </c>
      <c r="T12" s="152">
        <v>0.05</v>
      </c>
      <c r="U12" s="152">
        <v>0.31</v>
      </c>
      <c r="V12" s="152">
        <v>0.31</v>
      </c>
      <c r="W12" s="152">
        <v>0.53</v>
      </c>
      <c r="X12" s="154">
        <v>0.5</v>
      </c>
      <c r="Y12" s="173">
        <v>0.05</v>
      </c>
      <c r="Z12" s="152">
        <v>0.05</v>
      </c>
      <c r="AA12" s="152">
        <v>0.31</v>
      </c>
      <c r="AB12" s="152">
        <v>0.31</v>
      </c>
      <c r="AC12" s="152">
        <v>0.53</v>
      </c>
      <c r="AD12" s="154">
        <v>0.5</v>
      </c>
      <c r="AE12" s="175">
        <v>0.13</v>
      </c>
      <c r="AF12" s="152">
        <v>0.13</v>
      </c>
      <c r="AG12" s="152">
        <v>0.64</v>
      </c>
      <c r="AH12" s="152">
        <v>0.64</v>
      </c>
      <c r="AI12" s="152">
        <v>0.9</v>
      </c>
      <c r="AJ12" s="154">
        <v>0.9</v>
      </c>
      <c r="AK12" s="40"/>
      <c r="AL12" s="153" t="s">
        <v>93</v>
      </c>
      <c r="AM12" s="166">
        <v>25.28</v>
      </c>
      <c r="AN12" s="166">
        <v>25.35</v>
      </c>
      <c r="AO12" s="166">
        <v>17.62</v>
      </c>
      <c r="AP12" s="166">
        <v>17.670000000000002</v>
      </c>
      <c r="AQ12" s="166">
        <v>18.23</v>
      </c>
      <c r="AR12" s="166">
        <v>19.170000000000002</v>
      </c>
      <c r="AS12" s="166">
        <v>25.28</v>
      </c>
      <c r="AT12" s="166">
        <v>25.35</v>
      </c>
      <c r="AU12" s="166">
        <v>17.62</v>
      </c>
      <c r="AV12" s="166">
        <v>17.670000000000002</v>
      </c>
      <c r="AW12" s="166">
        <v>18.23</v>
      </c>
      <c r="AX12" s="166">
        <v>19.170000000000002</v>
      </c>
      <c r="AY12" s="166">
        <v>29.97</v>
      </c>
      <c r="AZ12" s="166">
        <v>30.05</v>
      </c>
      <c r="BA12" s="166">
        <v>21.72</v>
      </c>
      <c r="BB12" s="166">
        <v>21.77</v>
      </c>
      <c r="BC12" s="166">
        <v>19.48</v>
      </c>
      <c r="BD12" s="169">
        <v>19.52</v>
      </c>
      <c r="BE12" s="13"/>
      <c r="BF12" s="13"/>
      <c r="BG12" s="13"/>
    </row>
    <row r="13" spans="2:59" ht="15" customHeight="1" thickBot="1" x14ac:dyDescent="0.25">
      <c r="B13" s="90" t="s">
        <v>282</v>
      </c>
      <c r="C13" s="81" t="s">
        <v>62</v>
      </c>
      <c r="D13" s="91">
        <f>IF(Table1[[#This Row],[2022 Value known?]]="No",6,0)</f>
        <v>6</v>
      </c>
      <c r="E13" s="83">
        <f>25</f>
        <v>25</v>
      </c>
      <c r="F13" s="93" t="s">
        <v>62</v>
      </c>
      <c r="G13" s="85">
        <f>IF(Table1[[#This Row],[2025 Value known?]]="No",6,0)</f>
        <v>6</v>
      </c>
      <c r="H13" s="83">
        <v>25</v>
      </c>
      <c r="I13" s="84" t="s">
        <v>13</v>
      </c>
      <c r="J13" s="135">
        <f t="shared" si="0"/>
        <v>0.22500000000000001</v>
      </c>
      <c r="K13" s="134">
        <f t="shared" si="1"/>
        <v>9</v>
      </c>
      <c r="L13" s="40"/>
      <c r="M13" s="40"/>
      <c r="N13" s="40"/>
      <c r="O13" s="94"/>
      <c r="P13" s="88"/>
      <c r="Q13" s="40"/>
      <c r="R13" s="181" t="s">
        <v>586</v>
      </c>
      <c r="S13" s="155">
        <v>0.05</v>
      </c>
      <c r="T13" s="156">
        <v>0.05</v>
      </c>
      <c r="U13" s="156">
        <v>0.05</v>
      </c>
      <c r="V13" s="156">
        <v>0.05</v>
      </c>
      <c r="W13" s="156">
        <v>0.05</v>
      </c>
      <c r="X13" s="157">
        <v>0.05</v>
      </c>
      <c r="Y13" s="155">
        <v>0.05</v>
      </c>
      <c r="Z13" s="156">
        <v>0.05</v>
      </c>
      <c r="AA13" s="156">
        <v>0.05</v>
      </c>
      <c r="AB13" s="156">
        <v>0.05</v>
      </c>
      <c r="AC13" s="156">
        <v>0.05</v>
      </c>
      <c r="AD13" s="157">
        <v>0.05</v>
      </c>
      <c r="AE13" s="176">
        <v>0.13</v>
      </c>
      <c r="AF13" s="156">
        <v>0.13</v>
      </c>
      <c r="AG13" s="156">
        <v>0.13</v>
      </c>
      <c r="AH13" s="156">
        <v>0.13</v>
      </c>
      <c r="AI13" s="156">
        <v>0.13</v>
      </c>
      <c r="AJ13" s="157">
        <v>0.13</v>
      </c>
      <c r="AK13" s="40"/>
      <c r="AL13" s="155" t="s">
        <v>586</v>
      </c>
      <c r="AM13" s="156">
        <v>25.35</v>
      </c>
      <c r="AN13" s="156">
        <v>25.35</v>
      </c>
      <c r="AO13" s="156">
        <v>25.35</v>
      </c>
      <c r="AP13" s="156">
        <v>25.35</v>
      </c>
      <c r="AQ13" s="156">
        <v>25.35</v>
      </c>
      <c r="AR13" s="156">
        <v>25.35</v>
      </c>
      <c r="AS13" s="156">
        <v>25.35</v>
      </c>
      <c r="AT13" s="156">
        <v>25.35</v>
      </c>
      <c r="AU13" s="156">
        <v>25.35</v>
      </c>
      <c r="AV13" s="156">
        <v>25.35</v>
      </c>
      <c r="AW13" s="156">
        <v>25.35</v>
      </c>
      <c r="AX13" s="156">
        <v>25.35</v>
      </c>
      <c r="AY13" s="170">
        <v>30.05</v>
      </c>
      <c r="AZ13" s="170">
        <v>30.05</v>
      </c>
      <c r="BA13" s="170">
        <v>30.05</v>
      </c>
      <c r="BB13" s="170">
        <v>30.05</v>
      </c>
      <c r="BC13" s="170">
        <v>30.05</v>
      </c>
      <c r="BD13" s="171">
        <v>30.05</v>
      </c>
    </row>
    <row r="14" spans="2:59" ht="15" customHeight="1" thickBot="1" x14ac:dyDescent="0.3">
      <c r="B14" s="90" t="s">
        <v>283</v>
      </c>
      <c r="C14" s="95" t="s">
        <v>13</v>
      </c>
      <c r="D14" s="91">
        <v>0.69</v>
      </c>
      <c r="E14" s="83">
        <f>25</f>
        <v>25</v>
      </c>
      <c r="F14" s="96" t="s">
        <v>13</v>
      </c>
      <c r="G14" s="85">
        <v>0.69</v>
      </c>
      <c r="H14" s="83">
        <v>25</v>
      </c>
      <c r="I14" s="84" t="s">
        <v>13</v>
      </c>
      <c r="J14" s="135">
        <f t="shared" si="0"/>
        <v>0.22500000000000001</v>
      </c>
      <c r="K14" s="134">
        <f t="shared" si="1"/>
        <v>9</v>
      </c>
      <c r="L14" s="40"/>
      <c r="M14" s="40"/>
      <c r="N14" s="40"/>
      <c r="O14" s="94"/>
      <c r="P14" s="40"/>
      <c r="Q14" s="40"/>
      <c r="R14" s="75" t="s">
        <v>392</v>
      </c>
      <c r="S14" s="470" t="s">
        <v>389</v>
      </c>
      <c r="T14" s="471"/>
      <c r="U14" s="471"/>
      <c r="V14" s="471"/>
      <c r="W14" s="471"/>
      <c r="X14" s="472"/>
      <c r="Y14" s="470" t="s">
        <v>390</v>
      </c>
      <c r="Z14" s="471"/>
      <c r="AA14" s="471"/>
      <c r="AB14" s="471"/>
      <c r="AC14" s="471"/>
      <c r="AD14" s="472"/>
      <c r="AE14" s="470" t="s">
        <v>391</v>
      </c>
      <c r="AF14" s="471"/>
      <c r="AG14" s="471"/>
      <c r="AH14" s="471"/>
      <c r="AI14" s="471"/>
      <c r="AJ14" s="472"/>
      <c r="AK14" s="40"/>
      <c r="AL14" s="75" t="s">
        <v>392</v>
      </c>
      <c r="AM14" s="470" t="s">
        <v>389</v>
      </c>
      <c r="AN14" s="471"/>
      <c r="AO14" s="471"/>
      <c r="AP14" s="471"/>
      <c r="AQ14" s="471"/>
      <c r="AR14" s="472"/>
      <c r="AS14" s="470" t="s">
        <v>390</v>
      </c>
      <c r="AT14" s="471"/>
      <c r="AU14" s="471"/>
      <c r="AV14" s="471"/>
      <c r="AW14" s="471"/>
      <c r="AX14" s="472"/>
      <c r="AY14" s="470" t="s">
        <v>391</v>
      </c>
      <c r="AZ14" s="471"/>
      <c r="BA14" s="471"/>
      <c r="BB14" s="471"/>
      <c r="BC14" s="471"/>
      <c r="BD14" s="472"/>
    </row>
    <row r="15" spans="2:59" ht="15" customHeight="1" thickBot="1" x14ac:dyDescent="0.3">
      <c r="B15" s="90" t="s">
        <v>284</v>
      </c>
      <c r="C15" s="95" t="s">
        <v>62</v>
      </c>
      <c r="D15" s="91">
        <f>IF(Table1[[#This Row],[2022 Value known?]]="No",6,0)</f>
        <v>6</v>
      </c>
      <c r="E15" s="83">
        <f>25</f>
        <v>25</v>
      </c>
      <c r="F15" s="96" t="s">
        <v>62</v>
      </c>
      <c r="G15" s="85">
        <f>IF(Table1[[#This Row],[2025 Value known?]]="No",6,0)</f>
        <v>6</v>
      </c>
      <c r="H15" s="83">
        <v>25</v>
      </c>
      <c r="I15" s="84" t="s">
        <v>13</v>
      </c>
      <c r="J15" s="135">
        <f t="shared" si="0"/>
        <v>0.22500000000000001</v>
      </c>
      <c r="K15" s="134">
        <f t="shared" si="1"/>
        <v>9</v>
      </c>
      <c r="L15" s="40"/>
      <c r="M15" s="40"/>
      <c r="N15" s="40"/>
      <c r="O15" s="94"/>
      <c r="P15" s="40"/>
      <c r="Q15" s="40"/>
      <c r="R15" s="182" t="s">
        <v>77</v>
      </c>
      <c r="S15" s="161" t="s">
        <v>78</v>
      </c>
      <c r="T15" s="162"/>
      <c r="U15" s="464" t="s">
        <v>253</v>
      </c>
      <c r="V15" s="463"/>
      <c r="W15" s="464" t="s">
        <v>254</v>
      </c>
      <c r="X15" s="465"/>
      <c r="Y15" s="462" t="s">
        <v>78</v>
      </c>
      <c r="Z15" s="463"/>
      <c r="AA15" s="464" t="s">
        <v>253</v>
      </c>
      <c r="AB15" s="463"/>
      <c r="AC15" s="464" t="s">
        <v>254</v>
      </c>
      <c r="AD15" s="465"/>
      <c r="AE15" s="462" t="s">
        <v>78</v>
      </c>
      <c r="AF15" s="463"/>
      <c r="AG15" s="464" t="s">
        <v>253</v>
      </c>
      <c r="AH15" s="463"/>
      <c r="AI15" s="464" t="s">
        <v>254</v>
      </c>
      <c r="AJ15" s="465"/>
      <c r="AK15" s="40"/>
      <c r="AL15" s="160" t="s">
        <v>77</v>
      </c>
      <c r="AM15" s="475" t="s">
        <v>78</v>
      </c>
      <c r="AN15" s="476"/>
      <c r="AO15" s="464" t="s">
        <v>253</v>
      </c>
      <c r="AP15" s="463"/>
      <c r="AQ15" s="464" t="s">
        <v>254</v>
      </c>
      <c r="AR15" s="465"/>
      <c r="AS15" s="462" t="s">
        <v>78</v>
      </c>
      <c r="AT15" s="463"/>
      <c r="AU15" s="464" t="s">
        <v>253</v>
      </c>
      <c r="AV15" s="463"/>
      <c r="AW15" s="464" t="s">
        <v>254</v>
      </c>
      <c r="AX15" s="465"/>
      <c r="AY15" s="462" t="s">
        <v>78</v>
      </c>
      <c r="AZ15" s="463"/>
      <c r="BA15" s="464" t="s">
        <v>253</v>
      </c>
      <c r="BB15" s="463"/>
      <c r="BC15" s="464" t="s">
        <v>254</v>
      </c>
      <c r="BD15" s="465"/>
    </row>
    <row r="16" spans="2:59" ht="15" customHeight="1" x14ac:dyDescent="0.2">
      <c r="B16" s="90" t="s">
        <v>285</v>
      </c>
      <c r="C16" s="95" t="s">
        <v>13</v>
      </c>
      <c r="D16" s="91">
        <v>1.89</v>
      </c>
      <c r="E16" s="83">
        <f>25</f>
        <v>25</v>
      </c>
      <c r="F16" s="96" t="s">
        <v>13</v>
      </c>
      <c r="G16" s="85">
        <v>1.89</v>
      </c>
      <c r="H16" s="83">
        <v>25</v>
      </c>
      <c r="I16" s="84" t="s">
        <v>13</v>
      </c>
      <c r="J16" s="135">
        <f t="shared" si="0"/>
        <v>0.22500000000000001</v>
      </c>
      <c r="K16" s="134">
        <f t="shared" si="1"/>
        <v>9</v>
      </c>
      <c r="L16" s="40"/>
      <c r="M16" s="40"/>
      <c r="N16" s="40"/>
      <c r="O16" s="94"/>
      <c r="P16" s="40"/>
      <c r="Q16" s="40"/>
      <c r="R16" s="183" t="s">
        <v>23</v>
      </c>
      <c r="S16" s="172">
        <v>0.14000000000000001</v>
      </c>
      <c r="T16" s="164">
        <v>0.14000000000000001</v>
      </c>
      <c r="U16" s="164">
        <v>0.27</v>
      </c>
      <c r="V16" s="164">
        <v>0.28000000000000003</v>
      </c>
      <c r="W16" s="164">
        <v>0.83</v>
      </c>
      <c r="X16" s="165">
        <v>0.85</v>
      </c>
      <c r="Y16" s="172">
        <v>0.14000000000000001</v>
      </c>
      <c r="Z16" s="164">
        <v>0.14000000000000001</v>
      </c>
      <c r="AA16" s="164">
        <v>0.27</v>
      </c>
      <c r="AB16" s="164">
        <v>0.28000000000000003</v>
      </c>
      <c r="AC16" s="164">
        <v>0.83</v>
      </c>
      <c r="AD16" s="165">
        <v>0.85</v>
      </c>
      <c r="AE16" s="172">
        <v>1.31</v>
      </c>
      <c r="AF16" s="164">
        <v>0.98</v>
      </c>
      <c r="AG16" s="164">
        <v>1.31</v>
      </c>
      <c r="AH16" s="164">
        <v>0.98</v>
      </c>
      <c r="AI16" s="164">
        <v>1.31</v>
      </c>
      <c r="AJ16" s="165">
        <v>1.31</v>
      </c>
      <c r="AK16" s="40"/>
      <c r="AL16" s="183" t="s">
        <v>23</v>
      </c>
      <c r="AM16" s="187">
        <v>35.869999999999997</v>
      </c>
      <c r="AN16" s="167">
        <v>35.869999999999997</v>
      </c>
      <c r="AO16" s="167">
        <v>22.72</v>
      </c>
      <c r="AP16" s="167">
        <v>24.35</v>
      </c>
      <c r="AQ16" s="167">
        <v>18.309999999999999</v>
      </c>
      <c r="AR16" s="168">
        <v>18.64</v>
      </c>
      <c r="AS16" s="187">
        <v>35.869999999999997</v>
      </c>
      <c r="AT16" s="167">
        <v>35.869999999999997</v>
      </c>
      <c r="AU16" s="167">
        <v>22.72</v>
      </c>
      <c r="AV16" s="167">
        <v>24.35</v>
      </c>
      <c r="AW16" s="167">
        <v>18.309999999999999</v>
      </c>
      <c r="AX16" s="168">
        <v>18.64</v>
      </c>
      <c r="AY16" s="185">
        <v>22.54</v>
      </c>
      <c r="AZ16" s="167">
        <v>18.100000000000001</v>
      </c>
      <c r="BA16" s="167">
        <v>22.54</v>
      </c>
      <c r="BB16" s="167">
        <v>18.100000000000001</v>
      </c>
      <c r="BC16" s="167">
        <v>22.54</v>
      </c>
      <c r="BD16" s="168">
        <v>22.54</v>
      </c>
    </row>
    <row r="17" spans="2:56" ht="15" customHeight="1" x14ac:dyDescent="0.2">
      <c r="B17" s="90" t="s">
        <v>286</v>
      </c>
      <c r="C17" s="95" t="s">
        <v>62</v>
      </c>
      <c r="D17" s="91">
        <f>IF(Table1[[#This Row],[2022 Value known?]]="No",6,0)</f>
        <v>6</v>
      </c>
      <c r="E17" s="83">
        <f>25</f>
        <v>25</v>
      </c>
      <c r="F17" s="96" t="s">
        <v>62</v>
      </c>
      <c r="G17" s="85">
        <f>IF(Table1[[#This Row],[2025 Value known?]]="No",6,0)</f>
        <v>6</v>
      </c>
      <c r="H17" s="83">
        <v>25</v>
      </c>
      <c r="I17" s="84" t="s">
        <v>13</v>
      </c>
      <c r="J17" s="135">
        <f t="shared" si="0"/>
        <v>0.22500000000000001</v>
      </c>
      <c r="K17" s="134">
        <f t="shared" si="1"/>
        <v>9</v>
      </c>
      <c r="L17" s="40"/>
      <c r="M17" s="40"/>
      <c r="N17" s="98" t="s">
        <v>371</v>
      </c>
      <c r="O17" s="99" t="s">
        <v>372</v>
      </c>
      <c r="P17" s="100" t="s">
        <v>373</v>
      </c>
      <c r="Q17" s="40"/>
      <c r="R17" s="180" t="s">
        <v>251</v>
      </c>
      <c r="S17" s="173">
        <v>0.09</v>
      </c>
      <c r="T17" s="152">
        <v>0.09</v>
      </c>
      <c r="U17" s="152">
        <v>0.15</v>
      </c>
      <c r="V17" s="152">
        <v>0.15</v>
      </c>
      <c r="W17" s="152">
        <v>0.51</v>
      </c>
      <c r="X17" s="154">
        <v>0.51</v>
      </c>
      <c r="Y17" s="173">
        <v>0.09</v>
      </c>
      <c r="Z17" s="152">
        <v>0.09</v>
      </c>
      <c r="AA17" s="152">
        <v>0.15</v>
      </c>
      <c r="AB17" s="152">
        <v>0.15</v>
      </c>
      <c r="AC17" s="152">
        <v>0.51</v>
      </c>
      <c r="AD17" s="154">
        <v>0.51</v>
      </c>
      <c r="AE17" s="173">
        <v>0.16</v>
      </c>
      <c r="AF17" s="152">
        <v>0.16</v>
      </c>
      <c r="AG17" s="152">
        <v>0.26</v>
      </c>
      <c r="AH17" s="152">
        <v>0.25</v>
      </c>
      <c r="AI17" s="152">
        <v>0.8</v>
      </c>
      <c r="AJ17" s="154">
        <v>0.78</v>
      </c>
      <c r="AK17" s="40"/>
      <c r="AL17" s="180" t="s">
        <v>251</v>
      </c>
      <c r="AM17" s="188">
        <v>16.52</v>
      </c>
      <c r="AN17" s="166">
        <v>16.420000000000002</v>
      </c>
      <c r="AO17" s="166">
        <v>11.24</v>
      </c>
      <c r="AP17" s="166">
        <v>11.32</v>
      </c>
      <c r="AQ17" s="166">
        <v>9.85</v>
      </c>
      <c r="AR17" s="169">
        <v>9.8699999999999992</v>
      </c>
      <c r="AS17" s="188">
        <v>16.52</v>
      </c>
      <c r="AT17" s="166">
        <v>16.420000000000002</v>
      </c>
      <c r="AU17" s="166">
        <v>11.24</v>
      </c>
      <c r="AV17" s="166">
        <v>11.32</v>
      </c>
      <c r="AW17" s="166">
        <v>9.85</v>
      </c>
      <c r="AX17" s="169">
        <v>9.8699999999999992</v>
      </c>
      <c r="AY17" s="186">
        <v>22.39</v>
      </c>
      <c r="AZ17" s="166">
        <v>22.39</v>
      </c>
      <c r="BA17" s="166">
        <v>17.62</v>
      </c>
      <c r="BB17" s="166">
        <v>17.59</v>
      </c>
      <c r="BC17" s="166">
        <v>11.91</v>
      </c>
      <c r="BD17" s="169">
        <v>11.76</v>
      </c>
    </row>
    <row r="18" spans="2:56" ht="15" customHeight="1" x14ac:dyDescent="0.2">
      <c r="B18" s="90" t="s">
        <v>287</v>
      </c>
      <c r="C18" s="95" t="s">
        <v>62</v>
      </c>
      <c r="D18" s="91">
        <f>IF(Table1[[#This Row],[2022 Value known?]]="No",6,0)</f>
        <v>6</v>
      </c>
      <c r="E18" s="83">
        <f>25</f>
        <v>25</v>
      </c>
      <c r="F18" s="96" t="s">
        <v>62</v>
      </c>
      <c r="G18" s="85">
        <f>IF(Table1[[#This Row],[2025 Value known?]]="No",6,0)</f>
        <v>6</v>
      </c>
      <c r="H18" s="83">
        <v>25</v>
      </c>
      <c r="I18" s="84" t="s">
        <v>13</v>
      </c>
      <c r="J18" s="135">
        <f t="shared" si="0"/>
        <v>0.22500000000000001</v>
      </c>
      <c r="K18" s="134">
        <f t="shared" si="1"/>
        <v>9</v>
      </c>
      <c r="L18" s="40"/>
      <c r="M18" s="40"/>
      <c r="N18" s="101" t="s">
        <v>368</v>
      </c>
      <c r="O18" s="95" t="s">
        <v>374</v>
      </c>
      <c r="P18" s="95" t="s">
        <v>374</v>
      </c>
      <c r="Q18" s="40"/>
      <c r="R18" s="180" t="s">
        <v>133</v>
      </c>
      <c r="S18" s="173">
        <v>7.0000000000000007E-2</v>
      </c>
      <c r="T18" s="152">
        <v>0.08</v>
      </c>
      <c r="U18" s="152">
        <v>0.28999999999999998</v>
      </c>
      <c r="V18" s="152">
        <v>0.3</v>
      </c>
      <c r="W18" s="152">
        <v>0.59</v>
      </c>
      <c r="X18" s="154">
        <v>0.59</v>
      </c>
      <c r="Y18" s="173">
        <v>7.0000000000000007E-2</v>
      </c>
      <c r="Z18" s="152">
        <v>0.08</v>
      </c>
      <c r="AA18" s="152">
        <v>0.28999999999999998</v>
      </c>
      <c r="AB18" s="152">
        <v>0.3</v>
      </c>
      <c r="AC18" s="152">
        <v>0.59</v>
      </c>
      <c r="AD18" s="154">
        <v>0.59</v>
      </c>
      <c r="AE18" s="173">
        <v>0.18</v>
      </c>
      <c r="AF18" s="152">
        <v>0.18</v>
      </c>
      <c r="AG18" s="152">
        <v>0.61</v>
      </c>
      <c r="AH18" s="152">
        <v>0.62</v>
      </c>
      <c r="AI18" s="152">
        <v>1</v>
      </c>
      <c r="AJ18" s="154">
        <v>1.01</v>
      </c>
      <c r="AK18" s="40"/>
      <c r="AL18" s="180" t="s">
        <v>133</v>
      </c>
      <c r="AM18" s="188">
        <v>30.56</v>
      </c>
      <c r="AN18" s="166">
        <v>31.47</v>
      </c>
      <c r="AO18" s="166">
        <v>20.94</v>
      </c>
      <c r="AP18" s="166">
        <v>21.21</v>
      </c>
      <c r="AQ18" s="166">
        <v>20.84</v>
      </c>
      <c r="AR18" s="169">
        <v>21.19</v>
      </c>
      <c r="AS18" s="188">
        <v>30.56</v>
      </c>
      <c r="AT18" s="166">
        <v>31.47</v>
      </c>
      <c r="AU18" s="166">
        <v>20.94</v>
      </c>
      <c r="AV18" s="166">
        <v>21.21</v>
      </c>
      <c r="AW18" s="166">
        <v>20.84</v>
      </c>
      <c r="AX18" s="169">
        <v>21.19</v>
      </c>
      <c r="AY18" s="186">
        <v>38.380000000000003</v>
      </c>
      <c r="AZ18" s="166">
        <v>38.380000000000003</v>
      </c>
      <c r="BA18" s="166">
        <v>27.25</v>
      </c>
      <c r="BB18" s="166">
        <v>28.27</v>
      </c>
      <c r="BC18" s="166">
        <v>23.37</v>
      </c>
      <c r="BD18" s="169">
        <v>23.83</v>
      </c>
    </row>
    <row r="19" spans="2:56" ht="15" customHeight="1" x14ac:dyDescent="0.2">
      <c r="B19" s="89" t="s">
        <v>288</v>
      </c>
      <c r="C19" s="95" t="s">
        <v>13</v>
      </c>
      <c r="D19" s="91">
        <v>0.86</v>
      </c>
      <c r="E19" s="83">
        <f>25</f>
        <v>25</v>
      </c>
      <c r="F19" s="96" t="s">
        <v>13</v>
      </c>
      <c r="G19" s="85">
        <v>0.86</v>
      </c>
      <c r="H19" s="83">
        <v>25</v>
      </c>
      <c r="I19" s="84" t="s">
        <v>13</v>
      </c>
      <c r="J19" s="135">
        <f t="shared" si="0"/>
        <v>0.22500000000000001</v>
      </c>
      <c r="K19" s="134">
        <f t="shared" si="1"/>
        <v>9</v>
      </c>
      <c r="L19" s="40"/>
      <c r="M19" s="40"/>
      <c r="N19" s="101" t="s">
        <v>369</v>
      </c>
      <c r="O19" s="95">
        <v>9.6999999999999993</v>
      </c>
      <c r="P19" s="102">
        <v>72.900000000000006</v>
      </c>
      <c r="Q19" s="40"/>
      <c r="R19" s="180" t="s">
        <v>252</v>
      </c>
      <c r="S19" s="173">
        <v>0.16</v>
      </c>
      <c r="T19" s="152">
        <v>0.18</v>
      </c>
      <c r="U19" s="152">
        <v>0.39</v>
      </c>
      <c r="V19" s="152">
        <v>0.43</v>
      </c>
      <c r="W19" s="152">
        <v>0.6</v>
      </c>
      <c r="X19" s="154">
        <v>0.65</v>
      </c>
      <c r="Y19" s="173">
        <v>0.16</v>
      </c>
      <c r="Z19" s="152">
        <v>0.18</v>
      </c>
      <c r="AA19" s="152">
        <v>0.39</v>
      </c>
      <c r="AB19" s="152">
        <v>0.43</v>
      </c>
      <c r="AC19" s="152">
        <v>0.6</v>
      </c>
      <c r="AD19" s="154">
        <v>0.65</v>
      </c>
      <c r="AE19" s="173">
        <v>0.37</v>
      </c>
      <c r="AF19" s="152">
        <v>0.37</v>
      </c>
      <c r="AG19" s="152">
        <v>0.8</v>
      </c>
      <c r="AH19" s="152">
        <v>0.85</v>
      </c>
      <c r="AI19" s="152">
        <v>1.06</v>
      </c>
      <c r="AJ19" s="154">
        <v>1.26</v>
      </c>
      <c r="AK19" s="40"/>
      <c r="AL19" s="180" t="s">
        <v>252</v>
      </c>
      <c r="AM19" s="188">
        <v>257.38</v>
      </c>
      <c r="AN19" s="166">
        <v>243.03</v>
      </c>
      <c r="AO19" s="166">
        <v>158.74</v>
      </c>
      <c r="AP19" s="166">
        <v>165.42</v>
      </c>
      <c r="AQ19" s="166">
        <v>146.43</v>
      </c>
      <c r="AR19" s="169">
        <v>156.49</v>
      </c>
      <c r="AS19" s="188">
        <v>257.38</v>
      </c>
      <c r="AT19" s="166">
        <v>243.03</v>
      </c>
      <c r="AU19" s="166">
        <v>158.74</v>
      </c>
      <c r="AV19" s="166">
        <v>165.42</v>
      </c>
      <c r="AW19" s="166">
        <v>146.43</v>
      </c>
      <c r="AX19" s="169">
        <v>156.49</v>
      </c>
      <c r="AY19" s="186">
        <v>287.23</v>
      </c>
      <c r="AZ19" s="166">
        <v>287.23</v>
      </c>
      <c r="BA19" s="166">
        <v>187.03</v>
      </c>
      <c r="BB19" s="166">
        <v>195.03</v>
      </c>
      <c r="BC19" s="166">
        <v>157.06</v>
      </c>
      <c r="BD19" s="169">
        <v>160.54</v>
      </c>
    </row>
    <row r="20" spans="2:56" ht="15" customHeight="1" x14ac:dyDescent="0.2">
      <c r="B20" s="89" t="s">
        <v>289</v>
      </c>
      <c r="C20" s="95" t="s">
        <v>62</v>
      </c>
      <c r="D20" s="91">
        <f>IF(Table1[[#This Row],[2022 Value known?]]="No",6,0)</f>
        <v>6</v>
      </c>
      <c r="E20" s="83">
        <f>25</f>
        <v>25</v>
      </c>
      <c r="F20" s="96" t="s">
        <v>62</v>
      </c>
      <c r="G20" s="85">
        <f>IF(Table1[[#This Row],[2025 Value known?]]="No",6,0)</f>
        <v>6</v>
      </c>
      <c r="H20" s="83">
        <v>25</v>
      </c>
      <c r="I20" s="84" t="s">
        <v>13</v>
      </c>
      <c r="J20" s="135">
        <f t="shared" si="0"/>
        <v>0.22500000000000001</v>
      </c>
      <c r="K20" s="134">
        <f t="shared" si="1"/>
        <v>9</v>
      </c>
      <c r="L20" s="40"/>
      <c r="M20" s="40"/>
      <c r="N20" s="101" t="s">
        <v>370</v>
      </c>
      <c r="O20" s="95" t="s">
        <v>374</v>
      </c>
      <c r="P20" s="95" t="s">
        <v>374</v>
      </c>
      <c r="Q20" s="40"/>
      <c r="R20" s="180" t="s">
        <v>388</v>
      </c>
      <c r="S20" s="173">
        <v>0.08</v>
      </c>
      <c r="T20" s="152">
        <v>0.1</v>
      </c>
      <c r="U20" s="152">
        <v>0.35</v>
      </c>
      <c r="V20" s="152">
        <v>0.38</v>
      </c>
      <c r="W20" s="152">
        <v>0.57999999999999996</v>
      </c>
      <c r="X20" s="154">
        <v>0.62</v>
      </c>
      <c r="Y20" s="173">
        <v>0.08</v>
      </c>
      <c r="Z20" s="152">
        <v>0.1</v>
      </c>
      <c r="AA20" s="152">
        <v>0.35</v>
      </c>
      <c r="AB20" s="152">
        <v>0.38</v>
      </c>
      <c r="AC20" s="152">
        <v>0.57999999999999996</v>
      </c>
      <c r="AD20" s="154">
        <v>0.62</v>
      </c>
      <c r="AE20" s="173">
        <v>0.23</v>
      </c>
      <c r="AF20" s="152">
        <v>0.23</v>
      </c>
      <c r="AG20" s="152">
        <v>0.77</v>
      </c>
      <c r="AH20" s="152">
        <v>0.82</v>
      </c>
      <c r="AI20" s="152">
        <v>1</v>
      </c>
      <c r="AJ20" s="154">
        <v>1.1200000000000001</v>
      </c>
      <c r="AK20" s="40"/>
      <c r="AL20" s="180" t="s">
        <v>388</v>
      </c>
      <c r="AM20" s="188">
        <v>101.74</v>
      </c>
      <c r="AN20" s="166">
        <v>125.44</v>
      </c>
      <c r="AO20" s="166">
        <v>64.59</v>
      </c>
      <c r="AP20" s="166">
        <v>67</v>
      </c>
      <c r="AQ20" s="166">
        <v>60.94</v>
      </c>
      <c r="AR20" s="169">
        <v>64.61</v>
      </c>
      <c r="AS20" s="188">
        <v>101.74</v>
      </c>
      <c r="AT20" s="166">
        <v>125.44</v>
      </c>
      <c r="AU20" s="166">
        <v>64.59</v>
      </c>
      <c r="AV20" s="166">
        <v>67</v>
      </c>
      <c r="AW20" s="166">
        <v>60.94</v>
      </c>
      <c r="AX20" s="169">
        <v>64.61</v>
      </c>
      <c r="AY20" s="186">
        <v>147.9</v>
      </c>
      <c r="AZ20" s="166">
        <v>147.9</v>
      </c>
      <c r="BA20" s="166">
        <v>97.81</v>
      </c>
      <c r="BB20" s="166">
        <v>101.8</v>
      </c>
      <c r="BC20" s="166">
        <v>65.709999999999994</v>
      </c>
      <c r="BD20" s="169">
        <v>86.47</v>
      </c>
    </row>
    <row r="21" spans="2:56" ht="15" customHeight="1" x14ac:dyDescent="0.2">
      <c r="B21" s="89" t="s">
        <v>290</v>
      </c>
      <c r="C21" s="95" t="s">
        <v>62</v>
      </c>
      <c r="D21" s="91">
        <f>IF(Table1[[#This Row],[2022 Value known?]]="No",6,0)</f>
        <v>6</v>
      </c>
      <c r="E21" s="83">
        <f>25</f>
        <v>25</v>
      </c>
      <c r="F21" s="96" t="s">
        <v>62</v>
      </c>
      <c r="G21" s="85">
        <f>IF(Table1[[#This Row],[2025 Value known?]]="No",6,0)</f>
        <v>6</v>
      </c>
      <c r="H21" s="83">
        <v>25</v>
      </c>
      <c r="I21" s="84" t="s">
        <v>13</v>
      </c>
      <c r="J21" s="135">
        <f t="shared" si="0"/>
        <v>0.22500000000000001</v>
      </c>
      <c r="K21" s="134">
        <f t="shared" si="1"/>
        <v>9</v>
      </c>
      <c r="L21" s="40"/>
      <c r="M21" s="40"/>
      <c r="N21" s="101" t="s">
        <v>375</v>
      </c>
      <c r="O21" s="95">
        <v>7</v>
      </c>
      <c r="P21" s="102">
        <v>96.3</v>
      </c>
      <c r="Q21" s="40"/>
      <c r="R21" s="180" t="s">
        <v>22</v>
      </c>
      <c r="S21" s="173">
        <v>0.05</v>
      </c>
      <c r="T21" s="152">
        <v>0.05</v>
      </c>
      <c r="U21" s="152">
        <v>0.31</v>
      </c>
      <c r="V21" s="152">
        <v>0.31</v>
      </c>
      <c r="W21" s="152">
        <v>0.52</v>
      </c>
      <c r="X21" s="154">
        <v>0.52</v>
      </c>
      <c r="Y21" s="173">
        <v>0.05</v>
      </c>
      <c r="Z21" s="152">
        <v>0.05</v>
      </c>
      <c r="AA21" s="152">
        <v>0.31</v>
      </c>
      <c r="AB21" s="152">
        <v>0.31</v>
      </c>
      <c r="AC21" s="152">
        <v>0.52</v>
      </c>
      <c r="AD21" s="154">
        <v>0.52</v>
      </c>
      <c r="AE21" s="173">
        <v>0.15</v>
      </c>
      <c r="AF21" s="152">
        <v>0.15</v>
      </c>
      <c r="AG21" s="152">
        <v>0.64</v>
      </c>
      <c r="AH21" s="152">
        <v>0.66</v>
      </c>
      <c r="AI21" s="152">
        <v>0.92</v>
      </c>
      <c r="AJ21" s="154">
        <v>0.92</v>
      </c>
      <c r="AK21" s="40"/>
      <c r="AL21" s="180" t="s">
        <v>22</v>
      </c>
      <c r="AM21" s="188">
        <v>21.86</v>
      </c>
      <c r="AN21" s="166">
        <v>22.15</v>
      </c>
      <c r="AO21" s="166">
        <v>15.39</v>
      </c>
      <c r="AP21" s="166">
        <v>15.5</v>
      </c>
      <c r="AQ21" s="166">
        <v>15.96</v>
      </c>
      <c r="AR21" s="169">
        <v>15.99</v>
      </c>
      <c r="AS21" s="188">
        <v>21.86</v>
      </c>
      <c r="AT21" s="166">
        <v>22.15</v>
      </c>
      <c r="AU21" s="166">
        <v>15.39</v>
      </c>
      <c r="AV21" s="166">
        <v>15.5</v>
      </c>
      <c r="AW21" s="166">
        <v>15.96</v>
      </c>
      <c r="AX21" s="169">
        <v>15.99</v>
      </c>
      <c r="AY21" s="186">
        <v>26.19</v>
      </c>
      <c r="AZ21" s="166">
        <v>26.19</v>
      </c>
      <c r="BA21" s="166">
        <v>19.05</v>
      </c>
      <c r="BB21" s="166">
        <v>19.13</v>
      </c>
      <c r="BC21" s="166">
        <v>17.12</v>
      </c>
      <c r="BD21" s="169">
        <v>17.149999999999999</v>
      </c>
    </row>
    <row r="22" spans="2:56" ht="15" customHeight="1" x14ac:dyDescent="0.2">
      <c r="B22" s="90" t="s">
        <v>291</v>
      </c>
      <c r="C22" s="95" t="s">
        <v>62</v>
      </c>
      <c r="D22" s="91">
        <f>IF(Table1[[#This Row],[2022 Value known?]]="No",6,0)</f>
        <v>6</v>
      </c>
      <c r="E22" s="83">
        <f>25</f>
        <v>25</v>
      </c>
      <c r="F22" s="96" t="s">
        <v>62</v>
      </c>
      <c r="G22" s="85">
        <f>IF(Table1[[#This Row],[2025 Value known?]]="No",6,0)</f>
        <v>6</v>
      </c>
      <c r="H22" s="83">
        <v>25</v>
      </c>
      <c r="I22" s="84" t="s">
        <v>13</v>
      </c>
      <c r="J22" s="135">
        <f t="shared" si="0"/>
        <v>0.22500000000000001</v>
      </c>
      <c r="K22" s="134">
        <f t="shared" si="1"/>
        <v>9</v>
      </c>
      <c r="L22" s="40"/>
      <c r="M22" s="40"/>
      <c r="N22" s="103" t="s">
        <v>376</v>
      </c>
      <c r="O22" s="95">
        <v>11.6</v>
      </c>
      <c r="P22" s="102">
        <v>96.3</v>
      </c>
      <c r="Q22" s="40"/>
      <c r="R22" s="180" t="s">
        <v>387</v>
      </c>
      <c r="S22" s="173">
        <v>0.06</v>
      </c>
      <c r="T22" s="152">
        <v>0.06</v>
      </c>
      <c r="U22" s="152">
        <v>0.34</v>
      </c>
      <c r="V22" s="152">
        <v>0.34</v>
      </c>
      <c r="W22" s="152">
        <v>0.56000000000000005</v>
      </c>
      <c r="X22" s="154">
        <v>0.56000000000000005</v>
      </c>
      <c r="Y22" s="173">
        <v>0.06</v>
      </c>
      <c r="Z22" s="152">
        <v>0.06</v>
      </c>
      <c r="AA22" s="152">
        <v>0.34</v>
      </c>
      <c r="AB22" s="152">
        <v>0.34</v>
      </c>
      <c r="AC22" s="152">
        <v>0.56000000000000005</v>
      </c>
      <c r="AD22" s="154">
        <v>0.56000000000000005</v>
      </c>
      <c r="AE22" s="173">
        <v>0.17</v>
      </c>
      <c r="AF22" s="152">
        <v>0.18</v>
      </c>
      <c r="AG22" s="152">
        <v>0.73</v>
      </c>
      <c r="AH22" s="152">
        <v>0.74</v>
      </c>
      <c r="AI22" s="152">
        <v>0.98</v>
      </c>
      <c r="AJ22" s="154">
        <v>0.99</v>
      </c>
      <c r="AK22" s="40"/>
      <c r="AL22" s="180" t="s">
        <v>387</v>
      </c>
      <c r="AM22" s="188">
        <v>26.13</v>
      </c>
      <c r="AN22" s="166">
        <v>26.21</v>
      </c>
      <c r="AO22" s="166">
        <v>19.23</v>
      </c>
      <c r="AP22" s="166">
        <v>19.29</v>
      </c>
      <c r="AQ22" s="166">
        <v>20.56</v>
      </c>
      <c r="AR22" s="169">
        <v>20.62</v>
      </c>
      <c r="AS22" s="188">
        <v>26.13</v>
      </c>
      <c r="AT22" s="166">
        <v>26.21</v>
      </c>
      <c r="AU22" s="166">
        <v>19.23</v>
      </c>
      <c r="AV22" s="166">
        <v>19.29</v>
      </c>
      <c r="AW22" s="166">
        <v>20.56</v>
      </c>
      <c r="AX22" s="169">
        <v>20.62</v>
      </c>
      <c r="AY22" s="186">
        <v>31.21</v>
      </c>
      <c r="AZ22" s="166">
        <v>31.51</v>
      </c>
      <c r="BA22" s="166">
        <v>23.99</v>
      </c>
      <c r="BB22" s="166">
        <v>24.03</v>
      </c>
      <c r="BC22" s="166">
        <v>22.55</v>
      </c>
      <c r="BD22" s="169">
        <v>22.42</v>
      </c>
    </row>
    <row r="23" spans="2:56" ht="15" customHeight="1" x14ac:dyDescent="0.2">
      <c r="B23" s="90" t="s">
        <v>292</v>
      </c>
      <c r="C23" s="95" t="s">
        <v>13</v>
      </c>
      <c r="D23" s="91">
        <v>0.76</v>
      </c>
      <c r="E23" s="83">
        <f>25</f>
        <v>25</v>
      </c>
      <c r="F23" s="96" t="s">
        <v>13</v>
      </c>
      <c r="G23" s="85">
        <v>0.76</v>
      </c>
      <c r="H23" s="83">
        <v>25</v>
      </c>
      <c r="I23" s="84" t="s">
        <v>13</v>
      </c>
      <c r="J23" s="135">
        <f t="shared" si="0"/>
        <v>0.22500000000000001</v>
      </c>
      <c r="K23" s="134">
        <f t="shared" si="1"/>
        <v>9</v>
      </c>
      <c r="L23" s="40"/>
      <c r="M23" s="40"/>
      <c r="N23" s="40"/>
      <c r="O23" s="94"/>
      <c r="P23" s="40"/>
      <c r="Q23" s="40"/>
      <c r="R23" s="180" t="s">
        <v>93</v>
      </c>
      <c r="S23" s="173">
        <v>0.05</v>
      </c>
      <c r="T23" s="152">
        <v>0.05</v>
      </c>
      <c r="U23" s="152">
        <v>0.28999999999999998</v>
      </c>
      <c r="V23" s="152">
        <v>0.28999999999999998</v>
      </c>
      <c r="W23" s="152">
        <v>0.49</v>
      </c>
      <c r="X23" s="154">
        <v>0.49</v>
      </c>
      <c r="Y23" s="173">
        <v>0.05</v>
      </c>
      <c r="Z23" s="152">
        <v>0.05</v>
      </c>
      <c r="AA23" s="152">
        <v>0.28999999999999998</v>
      </c>
      <c r="AB23" s="152">
        <v>0.28999999999999998</v>
      </c>
      <c r="AC23" s="152">
        <v>0.49</v>
      </c>
      <c r="AD23" s="154">
        <v>0.49</v>
      </c>
      <c r="AE23" s="173">
        <v>0.15</v>
      </c>
      <c r="AF23" s="152">
        <v>0.15</v>
      </c>
      <c r="AG23" s="152">
        <v>0.61</v>
      </c>
      <c r="AH23" s="152">
        <v>0.62</v>
      </c>
      <c r="AI23" s="152">
        <v>0.85</v>
      </c>
      <c r="AJ23" s="154">
        <v>0.86</v>
      </c>
      <c r="AK23" s="40"/>
      <c r="AL23" s="180" t="s">
        <v>93</v>
      </c>
      <c r="AM23" s="188">
        <v>24.7</v>
      </c>
      <c r="AN23" s="166">
        <v>24.77</v>
      </c>
      <c r="AO23" s="166">
        <v>17.41</v>
      </c>
      <c r="AP23" s="166">
        <v>17.46</v>
      </c>
      <c r="AQ23" s="166">
        <v>18.16</v>
      </c>
      <c r="AR23" s="169">
        <v>18.2</v>
      </c>
      <c r="AS23" s="188">
        <v>24.7</v>
      </c>
      <c r="AT23" s="166">
        <v>24.77</v>
      </c>
      <c r="AU23" s="166">
        <v>17.41</v>
      </c>
      <c r="AV23" s="166">
        <v>17.46</v>
      </c>
      <c r="AW23" s="166">
        <v>18.16</v>
      </c>
      <c r="AX23" s="169">
        <v>18.2</v>
      </c>
      <c r="AY23" s="186">
        <v>31.17</v>
      </c>
      <c r="AZ23" s="166">
        <v>31.25</v>
      </c>
      <c r="BA23" s="166">
        <v>21.56</v>
      </c>
      <c r="BB23" s="166">
        <v>22.76</v>
      </c>
      <c r="BC23" s="166">
        <v>19.53</v>
      </c>
      <c r="BD23" s="169">
        <v>20.53</v>
      </c>
    </row>
    <row r="24" spans="2:56" ht="15" customHeight="1" thickBot="1" x14ac:dyDescent="0.25">
      <c r="B24" s="89" t="s">
        <v>293</v>
      </c>
      <c r="C24" s="95" t="s">
        <v>62</v>
      </c>
      <c r="D24" s="91">
        <f>IF(Table1[[#This Row],[2022 Value known?]]="No",6,0)</f>
        <v>6</v>
      </c>
      <c r="E24" s="83">
        <f>25</f>
        <v>25</v>
      </c>
      <c r="F24" s="96" t="s">
        <v>62</v>
      </c>
      <c r="G24" s="85">
        <f>IF(Table1[[#This Row],[2025 Value known?]]="No",6,0)</f>
        <v>6</v>
      </c>
      <c r="H24" s="83">
        <v>25</v>
      </c>
      <c r="I24" s="84" t="s">
        <v>13</v>
      </c>
      <c r="J24" s="135">
        <f t="shared" si="0"/>
        <v>0.22500000000000001</v>
      </c>
      <c r="K24" s="134">
        <f t="shared" si="1"/>
        <v>9</v>
      </c>
      <c r="L24" s="40"/>
      <c r="M24" s="40"/>
      <c r="N24" s="40"/>
      <c r="O24" s="94"/>
      <c r="P24" s="40"/>
      <c r="Q24" s="40"/>
      <c r="R24" s="181" t="s">
        <v>586</v>
      </c>
      <c r="S24" s="155">
        <v>0.05</v>
      </c>
      <c r="T24" s="156">
        <v>0.05</v>
      </c>
      <c r="U24" s="156">
        <v>0.05</v>
      </c>
      <c r="V24" s="156">
        <v>0.05</v>
      </c>
      <c r="W24" s="156">
        <v>0.05</v>
      </c>
      <c r="X24" s="157">
        <v>0.05</v>
      </c>
      <c r="Y24" s="155">
        <v>0.05</v>
      </c>
      <c r="Z24" s="156">
        <v>0.05</v>
      </c>
      <c r="AA24" s="156">
        <v>0.05</v>
      </c>
      <c r="AB24" s="156">
        <v>0.05</v>
      </c>
      <c r="AC24" s="156">
        <v>0.05</v>
      </c>
      <c r="AD24" s="157">
        <v>0.05</v>
      </c>
      <c r="AE24" s="155">
        <v>0.62</v>
      </c>
      <c r="AF24" s="156">
        <v>0.62</v>
      </c>
      <c r="AG24" s="156">
        <v>0.62</v>
      </c>
      <c r="AH24" s="156">
        <v>0.62</v>
      </c>
      <c r="AI24" s="156">
        <v>0.62</v>
      </c>
      <c r="AJ24" s="157">
        <v>0.62</v>
      </c>
      <c r="AK24" s="40"/>
      <c r="AL24" s="181" t="s">
        <v>586</v>
      </c>
      <c r="AM24" s="155">
        <v>24.77</v>
      </c>
      <c r="AN24" s="156">
        <v>24.77</v>
      </c>
      <c r="AO24" s="156">
        <v>24.77</v>
      </c>
      <c r="AP24" s="156">
        <v>24.77</v>
      </c>
      <c r="AQ24" s="156">
        <v>24.77</v>
      </c>
      <c r="AR24" s="157">
        <v>24.77</v>
      </c>
      <c r="AS24" s="155">
        <v>24.77</v>
      </c>
      <c r="AT24" s="156">
        <v>24.77</v>
      </c>
      <c r="AU24" s="156">
        <v>24.77</v>
      </c>
      <c r="AV24" s="156">
        <v>24.77</v>
      </c>
      <c r="AW24" s="156">
        <v>24.77</v>
      </c>
      <c r="AX24" s="157">
        <v>24.77</v>
      </c>
      <c r="AY24" s="189">
        <v>26.19</v>
      </c>
      <c r="AZ24" s="170">
        <v>26.19</v>
      </c>
      <c r="BA24" s="170">
        <v>26.19</v>
      </c>
      <c r="BB24" s="170">
        <v>26.19</v>
      </c>
      <c r="BC24" s="170">
        <v>26.19</v>
      </c>
      <c r="BD24" s="171">
        <v>26.19</v>
      </c>
    </row>
    <row r="25" spans="2:56" ht="23.45" customHeight="1" thickBot="1" x14ac:dyDescent="0.3">
      <c r="B25" s="90" t="s">
        <v>294</v>
      </c>
      <c r="C25" s="95" t="s">
        <v>62</v>
      </c>
      <c r="D25" s="91">
        <f>IF(Table1[[#This Row],[2022 Value known?]]="No",6,0)</f>
        <v>6</v>
      </c>
      <c r="E25" s="83">
        <f>25</f>
        <v>25</v>
      </c>
      <c r="F25" s="96" t="s">
        <v>62</v>
      </c>
      <c r="G25" s="85">
        <f>IF(Table1[[#This Row],[2025 Value known?]]="No",6,0)</f>
        <v>6</v>
      </c>
      <c r="H25" s="83">
        <v>25</v>
      </c>
      <c r="I25" s="84" t="s">
        <v>13</v>
      </c>
      <c r="J25" s="135">
        <f t="shared" si="0"/>
        <v>0.22500000000000001</v>
      </c>
      <c r="K25" s="134">
        <f t="shared" si="1"/>
        <v>9</v>
      </c>
      <c r="L25" s="40"/>
      <c r="M25" s="40"/>
      <c r="N25" s="40"/>
      <c r="O25" s="40"/>
      <c r="P25" s="40"/>
      <c r="Q25" s="40"/>
      <c r="R25" s="75" t="s">
        <v>393</v>
      </c>
      <c r="S25" s="470" t="s">
        <v>389</v>
      </c>
      <c r="T25" s="471"/>
      <c r="U25" s="471"/>
      <c r="V25" s="471"/>
      <c r="W25" s="471"/>
      <c r="X25" s="472"/>
      <c r="Y25" s="470" t="s">
        <v>390</v>
      </c>
      <c r="Z25" s="471"/>
      <c r="AA25" s="471"/>
      <c r="AB25" s="471"/>
      <c r="AC25" s="471"/>
      <c r="AD25" s="472"/>
      <c r="AE25" s="470" t="s">
        <v>391</v>
      </c>
      <c r="AF25" s="471"/>
      <c r="AG25" s="471"/>
      <c r="AH25" s="471"/>
      <c r="AI25" s="471"/>
      <c r="AJ25" s="472"/>
      <c r="AK25" s="40"/>
      <c r="AL25" s="75" t="s">
        <v>393</v>
      </c>
      <c r="AM25" s="470" t="s">
        <v>389</v>
      </c>
      <c r="AN25" s="471"/>
      <c r="AO25" s="471"/>
      <c r="AP25" s="471"/>
      <c r="AQ25" s="471"/>
      <c r="AR25" s="472"/>
      <c r="AS25" s="470" t="s">
        <v>390</v>
      </c>
      <c r="AT25" s="471"/>
      <c r="AU25" s="471"/>
      <c r="AV25" s="471"/>
      <c r="AW25" s="471"/>
      <c r="AX25" s="472"/>
      <c r="AY25" s="470" t="s">
        <v>391</v>
      </c>
      <c r="AZ25" s="471"/>
      <c r="BA25" s="471"/>
      <c r="BB25" s="471"/>
      <c r="BC25" s="471"/>
      <c r="BD25" s="472"/>
    </row>
    <row r="26" spans="2:56" ht="39" customHeight="1" thickBot="1" x14ac:dyDescent="0.3">
      <c r="B26" s="90" t="s">
        <v>295</v>
      </c>
      <c r="C26" s="95" t="s">
        <v>62</v>
      </c>
      <c r="D26" s="91">
        <f>IF(Table1[[#This Row],[2022 Value known?]]="No",6,0)</f>
        <v>6</v>
      </c>
      <c r="E26" s="83">
        <f>25</f>
        <v>25</v>
      </c>
      <c r="F26" s="96" t="s">
        <v>62</v>
      </c>
      <c r="G26" s="85">
        <f>IF(Table1[[#This Row],[2025 Value known?]]="No",6,0)</f>
        <v>6</v>
      </c>
      <c r="H26" s="83">
        <v>25</v>
      </c>
      <c r="I26" s="84" t="s">
        <v>13</v>
      </c>
      <c r="J26" s="135">
        <f t="shared" si="0"/>
        <v>0.22500000000000001</v>
      </c>
      <c r="K26" s="134">
        <f t="shared" si="1"/>
        <v>9</v>
      </c>
      <c r="L26" s="40"/>
      <c r="M26" s="40"/>
      <c r="N26" s="40"/>
      <c r="O26" s="40"/>
      <c r="P26" s="40"/>
      <c r="Q26" s="40"/>
      <c r="R26" s="182" t="s">
        <v>77</v>
      </c>
      <c r="S26" s="475" t="s">
        <v>78</v>
      </c>
      <c r="T26" s="476"/>
      <c r="U26" s="464" t="s">
        <v>253</v>
      </c>
      <c r="V26" s="463"/>
      <c r="W26" s="464" t="s">
        <v>254</v>
      </c>
      <c r="X26" s="465"/>
      <c r="Y26" s="462" t="s">
        <v>78</v>
      </c>
      <c r="Z26" s="463"/>
      <c r="AA26" s="464" t="s">
        <v>253</v>
      </c>
      <c r="AB26" s="463"/>
      <c r="AC26" s="464" t="s">
        <v>254</v>
      </c>
      <c r="AD26" s="465"/>
      <c r="AE26" s="477" t="s">
        <v>78</v>
      </c>
      <c r="AF26" s="463"/>
      <c r="AG26" s="464" t="s">
        <v>253</v>
      </c>
      <c r="AH26" s="463"/>
      <c r="AI26" s="464" t="s">
        <v>254</v>
      </c>
      <c r="AJ26" s="465"/>
      <c r="AK26" s="40"/>
      <c r="AL26" s="160" t="s">
        <v>77</v>
      </c>
      <c r="AM26" s="161" t="s">
        <v>78</v>
      </c>
      <c r="AN26" s="162"/>
      <c r="AO26" s="464" t="s">
        <v>253</v>
      </c>
      <c r="AP26" s="463"/>
      <c r="AQ26" s="464" t="s">
        <v>254</v>
      </c>
      <c r="AR26" s="465"/>
      <c r="AS26" s="462" t="s">
        <v>78</v>
      </c>
      <c r="AT26" s="463"/>
      <c r="AU26" s="464" t="s">
        <v>253</v>
      </c>
      <c r="AV26" s="463"/>
      <c r="AW26" s="464" t="s">
        <v>254</v>
      </c>
      <c r="AX26" s="465"/>
      <c r="AY26" s="462" t="s">
        <v>78</v>
      </c>
      <c r="AZ26" s="463"/>
      <c r="BA26" s="464" t="s">
        <v>253</v>
      </c>
      <c r="BB26" s="463"/>
      <c r="BC26" s="464" t="s">
        <v>254</v>
      </c>
      <c r="BD26" s="465"/>
    </row>
    <row r="27" spans="2:56" x14ac:dyDescent="0.2">
      <c r="B27" s="90" t="s">
        <v>296</v>
      </c>
      <c r="C27" s="95" t="s">
        <v>13</v>
      </c>
      <c r="D27" s="138">
        <f>1*0.9</f>
        <v>0.9</v>
      </c>
      <c r="E27" s="83">
        <f>25</f>
        <v>25</v>
      </c>
      <c r="F27" s="96" t="s">
        <v>13</v>
      </c>
      <c r="G27" s="141">
        <f>Table1[[#This Row],[2022 TP Discharge level (mg/l)]]</f>
        <v>0.9</v>
      </c>
      <c r="H27" s="83">
        <v>25</v>
      </c>
      <c r="I27" s="84" t="s">
        <v>13</v>
      </c>
      <c r="J27" s="135">
        <f t="shared" si="0"/>
        <v>0.22500000000000001</v>
      </c>
      <c r="K27" s="134">
        <f t="shared" si="1"/>
        <v>9</v>
      </c>
      <c r="L27" s="40"/>
      <c r="M27" s="40"/>
      <c r="N27" s="40"/>
      <c r="O27" s="40"/>
      <c r="P27" s="40"/>
      <c r="Q27" s="40"/>
      <c r="R27" s="183" t="s">
        <v>23</v>
      </c>
      <c r="S27" s="172">
        <v>0.14000000000000001</v>
      </c>
      <c r="T27" s="164">
        <v>0.14000000000000001</v>
      </c>
      <c r="U27" s="164">
        <v>0.28000000000000003</v>
      </c>
      <c r="V27" s="164">
        <v>0.28000000000000003</v>
      </c>
      <c r="W27" s="164">
        <v>0.88</v>
      </c>
      <c r="X27" s="165">
        <v>0.9</v>
      </c>
      <c r="Y27" s="172">
        <v>0.14000000000000001</v>
      </c>
      <c r="Z27" s="164">
        <v>0.14000000000000001</v>
      </c>
      <c r="AA27" s="164">
        <v>0.28000000000000003</v>
      </c>
      <c r="AB27" s="164">
        <v>0.28000000000000003</v>
      </c>
      <c r="AC27" s="164">
        <v>0.88</v>
      </c>
      <c r="AD27" s="165">
        <v>0.9</v>
      </c>
      <c r="AE27" s="184">
        <v>1.31</v>
      </c>
      <c r="AF27" s="164">
        <v>0.98</v>
      </c>
      <c r="AG27" s="164">
        <v>1.31</v>
      </c>
      <c r="AH27" s="164">
        <v>0.98</v>
      </c>
      <c r="AI27" s="164">
        <v>1.31</v>
      </c>
      <c r="AJ27" s="165">
        <v>1.31</v>
      </c>
      <c r="AK27" s="40"/>
      <c r="AL27" s="183" t="s">
        <v>23</v>
      </c>
      <c r="AM27" s="187">
        <v>35.869999999999997</v>
      </c>
      <c r="AN27" s="167">
        <v>35.799999999999997</v>
      </c>
      <c r="AO27" s="167">
        <v>24.09</v>
      </c>
      <c r="AP27" s="167">
        <v>24.35</v>
      </c>
      <c r="AQ27" s="167">
        <v>19.059999999999999</v>
      </c>
      <c r="AR27" s="168">
        <v>19.43</v>
      </c>
      <c r="AS27" s="187">
        <v>35.869999999999997</v>
      </c>
      <c r="AT27" s="167">
        <v>35.799999999999997</v>
      </c>
      <c r="AU27" s="167">
        <v>24.09</v>
      </c>
      <c r="AV27" s="167">
        <v>24.35</v>
      </c>
      <c r="AW27" s="167">
        <v>19.059999999999999</v>
      </c>
      <c r="AX27" s="168">
        <v>19.43</v>
      </c>
      <c r="AY27" s="185">
        <v>22.54</v>
      </c>
      <c r="AZ27" s="167">
        <v>18.100000000000001</v>
      </c>
      <c r="BA27" s="167">
        <v>22.54</v>
      </c>
      <c r="BB27" s="167">
        <v>18.100000000000001</v>
      </c>
      <c r="BC27" s="167">
        <v>22.54</v>
      </c>
      <c r="BD27" s="168">
        <v>22.54</v>
      </c>
    </row>
    <row r="28" spans="2:56" x14ac:dyDescent="0.2">
      <c r="B28" s="90" t="s">
        <v>297</v>
      </c>
      <c r="C28" s="95" t="s">
        <v>62</v>
      </c>
      <c r="D28" s="91">
        <f>IF(Table1[[#This Row],[2022 Value known?]]="No",6,0)</f>
        <v>6</v>
      </c>
      <c r="E28" s="83">
        <f>25</f>
        <v>25</v>
      </c>
      <c r="F28" s="96" t="s">
        <v>62</v>
      </c>
      <c r="G28" s="85">
        <f>IF(Table1[[#This Row],[2025 Value known?]]="No",6,0)</f>
        <v>6</v>
      </c>
      <c r="H28" s="83">
        <v>25</v>
      </c>
      <c r="I28" s="84" t="s">
        <v>13</v>
      </c>
      <c r="J28" s="135">
        <f t="shared" si="0"/>
        <v>0.22500000000000001</v>
      </c>
      <c r="K28" s="134">
        <f t="shared" si="1"/>
        <v>9</v>
      </c>
      <c r="L28" s="40"/>
      <c r="M28" s="40"/>
      <c r="N28" s="40"/>
      <c r="O28" s="40"/>
      <c r="P28" s="40"/>
      <c r="Q28" s="40"/>
      <c r="R28" s="180" t="s">
        <v>251</v>
      </c>
      <c r="S28" s="173">
        <v>0.1</v>
      </c>
      <c r="T28" s="152">
        <v>0.1</v>
      </c>
      <c r="U28" s="152">
        <v>0.16</v>
      </c>
      <c r="V28" s="152">
        <v>0.16</v>
      </c>
      <c r="W28" s="152">
        <v>0.5</v>
      </c>
      <c r="X28" s="154">
        <v>0.5</v>
      </c>
      <c r="Y28" s="173">
        <v>0.1</v>
      </c>
      <c r="Z28" s="152">
        <v>0.1</v>
      </c>
      <c r="AA28" s="152">
        <v>0.16</v>
      </c>
      <c r="AB28" s="152">
        <v>0.16</v>
      </c>
      <c r="AC28" s="152">
        <v>0.5</v>
      </c>
      <c r="AD28" s="154">
        <v>0.5</v>
      </c>
      <c r="AE28" s="175">
        <v>0.17</v>
      </c>
      <c r="AF28" s="152">
        <v>0.16</v>
      </c>
      <c r="AG28" s="152">
        <v>0.28000000000000003</v>
      </c>
      <c r="AH28" s="152">
        <v>0.25</v>
      </c>
      <c r="AI28" s="152">
        <v>0.85</v>
      </c>
      <c r="AJ28" s="154">
        <v>0.78</v>
      </c>
      <c r="AK28" s="40"/>
      <c r="AL28" s="180" t="s">
        <v>251</v>
      </c>
      <c r="AM28" s="188">
        <v>18.149999999999999</v>
      </c>
      <c r="AN28" s="166">
        <v>18.29</v>
      </c>
      <c r="AO28" s="166">
        <v>12.39</v>
      </c>
      <c r="AP28" s="166">
        <v>12.48</v>
      </c>
      <c r="AQ28" s="166">
        <v>9.65</v>
      </c>
      <c r="AR28" s="169">
        <v>9.68</v>
      </c>
      <c r="AS28" s="188">
        <v>18.149999999999999</v>
      </c>
      <c r="AT28" s="166">
        <v>18.29</v>
      </c>
      <c r="AU28" s="166">
        <v>12.39</v>
      </c>
      <c r="AV28" s="166">
        <v>12.48</v>
      </c>
      <c r="AW28" s="166">
        <v>9.65</v>
      </c>
      <c r="AX28" s="169">
        <v>9.68</v>
      </c>
      <c r="AY28" s="186">
        <v>25</v>
      </c>
      <c r="AZ28" s="166">
        <v>22.39</v>
      </c>
      <c r="BA28" s="166">
        <v>19.5</v>
      </c>
      <c r="BB28" s="166">
        <v>17.59</v>
      </c>
      <c r="BC28" s="166">
        <v>13.14</v>
      </c>
      <c r="BD28" s="169">
        <v>11.76</v>
      </c>
    </row>
    <row r="29" spans="2:56" x14ac:dyDescent="0.2">
      <c r="B29" s="90" t="s">
        <v>298</v>
      </c>
      <c r="C29" s="95" t="s">
        <v>62</v>
      </c>
      <c r="D29" s="91">
        <f>IF(Table1[[#This Row],[2022 Value known?]]="No",6,0)</f>
        <v>6</v>
      </c>
      <c r="E29" s="83">
        <f>25</f>
        <v>25</v>
      </c>
      <c r="F29" s="96" t="s">
        <v>62</v>
      </c>
      <c r="G29" s="85">
        <f>IF(Table1[[#This Row],[2025 Value known?]]="No",6,0)</f>
        <v>6</v>
      </c>
      <c r="H29" s="83">
        <v>25</v>
      </c>
      <c r="I29" s="84" t="s">
        <v>13</v>
      </c>
      <c r="J29" s="135">
        <f t="shared" si="0"/>
        <v>0.22500000000000001</v>
      </c>
      <c r="K29" s="134">
        <f t="shared" si="1"/>
        <v>9</v>
      </c>
      <c r="L29" s="40"/>
      <c r="M29" s="40"/>
      <c r="N29" s="40"/>
      <c r="O29" s="40"/>
      <c r="P29" s="40"/>
      <c r="Q29" s="40"/>
      <c r="R29" s="180" t="s">
        <v>133</v>
      </c>
      <c r="S29" s="173">
        <v>0.09</v>
      </c>
      <c r="T29" s="152">
        <v>0.09</v>
      </c>
      <c r="U29" s="152">
        <v>0.33</v>
      </c>
      <c r="V29" s="152">
        <v>0.33</v>
      </c>
      <c r="W29" s="152">
        <v>0.6</v>
      </c>
      <c r="X29" s="154">
        <v>0.6</v>
      </c>
      <c r="Y29" s="173">
        <v>0.09</v>
      </c>
      <c r="Z29" s="152">
        <v>0.09</v>
      </c>
      <c r="AA29" s="152">
        <v>0.33</v>
      </c>
      <c r="AB29" s="152">
        <v>0.33</v>
      </c>
      <c r="AC29" s="152">
        <v>0.6</v>
      </c>
      <c r="AD29" s="154">
        <v>0.6</v>
      </c>
      <c r="AE29" s="175">
        <v>0.2</v>
      </c>
      <c r="AF29" s="152">
        <v>0.18</v>
      </c>
      <c r="AG29" s="152">
        <v>0.67</v>
      </c>
      <c r="AH29" s="152">
        <v>0.62</v>
      </c>
      <c r="AI29" s="152">
        <v>1</v>
      </c>
      <c r="AJ29" s="154">
        <v>1.01</v>
      </c>
      <c r="AK29" s="40"/>
      <c r="AL29" s="180" t="s">
        <v>133</v>
      </c>
      <c r="AM29" s="188">
        <v>34.6</v>
      </c>
      <c r="AN29" s="166">
        <v>34.74</v>
      </c>
      <c r="AO29" s="166">
        <v>23.56</v>
      </c>
      <c r="AP29" s="166">
        <v>23.85</v>
      </c>
      <c r="AQ29" s="166">
        <v>21.18</v>
      </c>
      <c r="AR29" s="169">
        <v>21.55</v>
      </c>
      <c r="AS29" s="188">
        <v>34.6</v>
      </c>
      <c r="AT29" s="166">
        <v>34.74</v>
      </c>
      <c r="AU29" s="166">
        <v>23.56</v>
      </c>
      <c r="AV29" s="166">
        <v>23.85</v>
      </c>
      <c r="AW29" s="166">
        <v>21.18</v>
      </c>
      <c r="AX29" s="169">
        <v>21.55</v>
      </c>
      <c r="AY29" s="186">
        <v>42.91</v>
      </c>
      <c r="AZ29" s="166">
        <v>38.380000000000003</v>
      </c>
      <c r="BA29" s="166">
        <v>31.32</v>
      </c>
      <c r="BB29" s="166">
        <v>28.27</v>
      </c>
      <c r="BC29" s="166">
        <v>23.37</v>
      </c>
      <c r="BD29" s="169">
        <v>23.83</v>
      </c>
    </row>
    <row r="30" spans="2:56" x14ac:dyDescent="0.2">
      <c r="B30" s="90" t="s">
        <v>299</v>
      </c>
      <c r="C30" s="95" t="s">
        <v>62</v>
      </c>
      <c r="D30" s="91">
        <f>IF(Table1[[#This Row],[2022 Value known?]]="No",6,0)</f>
        <v>6</v>
      </c>
      <c r="E30" s="83">
        <f>25</f>
        <v>25</v>
      </c>
      <c r="F30" s="96" t="s">
        <v>62</v>
      </c>
      <c r="G30" s="85">
        <f>IF(Table1[[#This Row],[2025 Value known?]]="No",6,0)</f>
        <v>6</v>
      </c>
      <c r="H30" s="83">
        <v>25</v>
      </c>
      <c r="I30" s="84" t="s">
        <v>13</v>
      </c>
      <c r="J30" s="135">
        <f t="shared" si="0"/>
        <v>0.22500000000000001</v>
      </c>
      <c r="K30" s="134">
        <f t="shared" si="1"/>
        <v>9</v>
      </c>
      <c r="L30" s="40"/>
      <c r="M30" s="40"/>
      <c r="N30" s="40"/>
      <c r="O30" s="40"/>
      <c r="P30" s="40"/>
      <c r="Q30" s="40"/>
      <c r="R30" s="180" t="s">
        <v>252</v>
      </c>
      <c r="S30" s="173">
        <v>0.16</v>
      </c>
      <c r="T30" s="152">
        <v>0.16</v>
      </c>
      <c r="U30" s="152">
        <v>0.41</v>
      </c>
      <c r="V30" s="152">
        <v>0.44</v>
      </c>
      <c r="W30" s="152">
        <v>0.71</v>
      </c>
      <c r="X30" s="154">
        <v>0.75</v>
      </c>
      <c r="Y30" s="173">
        <v>0.16</v>
      </c>
      <c r="Z30" s="152">
        <v>0.16</v>
      </c>
      <c r="AA30" s="152">
        <v>0.41</v>
      </c>
      <c r="AB30" s="152">
        <v>0.44</v>
      </c>
      <c r="AC30" s="152">
        <v>0.71</v>
      </c>
      <c r="AD30" s="154">
        <v>0.75</v>
      </c>
      <c r="AE30" s="175">
        <v>0.34</v>
      </c>
      <c r="AF30" s="152">
        <v>0.37</v>
      </c>
      <c r="AG30" s="152">
        <v>0.8</v>
      </c>
      <c r="AH30" s="152">
        <v>0.85</v>
      </c>
      <c r="AI30" s="152">
        <v>1.2</v>
      </c>
      <c r="AJ30" s="154">
        <v>1.26</v>
      </c>
      <c r="AK30" s="40"/>
      <c r="AL30" s="180" t="s">
        <v>252</v>
      </c>
      <c r="AM30" s="188">
        <v>228.65</v>
      </c>
      <c r="AN30" s="166">
        <v>227.66</v>
      </c>
      <c r="AO30" s="166">
        <v>141.9</v>
      </c>
      <c r="AP30" s="166">
        <v>147.63</v>
      </c>
      <c r="AQ30" s="166">
        <v>138.11000000000001</v>
      </c>
      <c r="AR30" s="169">
        <v>147.41</v>
      </c>
      <c r="AS30" s="188">
        <v>228.65</v>
      </c>
      <c r="AT30" s="166">
        <v>227.66</v>
      </c>
      <c r="AU30" s="166">
        <v>141.9</v>
      </c>
      <c r="AV30" s="166">
        <v>147.63</v>
      </c>
      <c r="AW30" s="166">
        <v>138.11000000000001</v>
      </c>
      <c r="AX30" s="169">
        <v>147.41</v>
      </c>
      <c r="AY30" s="186">
        <v>268.72000000000003</v>
      </c>
      <c r="AZ30" s="166">
        <v>287.23</v>
      </c>
      <c r="BA30" s="166">
        <v>175.37</v>
      </c>
      <c r="BB30" s="166">
        <v>195.03</v>
      </c>
      <c r="BC30" s="166">
        <v>148.53</v>
      </c>
      <c r="BD30" s="169">
        <v>160.54</v>
      </c>
    </row>
    <row r="31" spans="2:56" x14ac:dyDescent="0.2">
      <c r="B31" s="90" t="s">
        <v>300</v>
      </c>
      <c r="C31" s="95" t="s">
        <v>13</v>
      </c>
      <c r="D31" s="91">
        <v>0.89</v>
      </c>
      <c r="E31" s="83">
        <f>25</f>
        <v>25</v>
      </c>
      <c r="F31" s="96" t="s">
        <v>13</v>
      </c>
      <c r="G31" s="85">
        <v>0.89</v>
      </c>
      <c r="H31" s="83">
        <v>25</v>
      </c>
      <c r="I31" s="84" t="s">
        <v>13</v>
      </c>
      <c r="J31" s="135">
        <f t="shared" si="0"/>
        <v>0.22500000000000001</v>
      </c>
      <c r="K31" s="134">
        <f t="shared" si="1"/>
        <v>9</v>
      </c>
      <c r="L31" s="40"/>
      <c r="M31" s="40"/>
      <c r="N31" s="40"/>
      <c r="O31" s="40"/>
      <c r="P31" s="40"/>
      <c r="Q31" s="40"/>
      <c r="R31" s="180" t="s">
        <v>388</v>
      </c>
      <c r="S31" s="173">
        <v>0.08</v>
      </c>
      <c r="T31" s="152">
        <v>0.08</v>
      </c>
      <c r="U31" s="152">
        <v>0.38</v>
      </c>
      <c r="V31" s="152">
        <v>0.42</v>
      </c>
      <c r="W31" s="152">
        <v>0.62</v>
      </c>
      <c r="X31" s="154">
        <v>0.68</v>
      </c>
      <c r="Y31" s="173">
        <v>0.08</v>
      </c>
      <c r="Z31" s="152">
        <v>0.08</v>
      </c>
      <c r="AA31" s="152">
        <v>0.38</v>
      </c>
      <c r="AB31" s="152">
        <v>0.42</v>
      </c>
      <c r="AC31" s="152">
        <v>0.62</v>
      </c>
      <c r="AD31" s="154">
        <v>0.68</v>
      </c>
      <c r="AE31" s="175">
        <v>0.21</v>
      </c>
      <c r="AF31" s="152">
        <v>0.23</v>
      </c>
      <c r="AG31" s="152">
        <v>0.77</v>
      </c>
      <c r="AH31" s="152">
        <v>0.82</v>
      </c>
      <c r="AI31" s="152">
        <v>1.06</v>
      </c>
      <c r="AJ31" s="154">
        <v>1.1200000000000001</v>
      </c>
      <c r="AK31" s="40"/>
      <c r="AL31" s="180" t="s">
        <v>388</v>
      </c>
      <c r="AM31" s="188">
        <v>89.8</v>
      </c>
      <c r="AN31" s="166">
        <v>89.51</v>
      </c>
      <c r="AO31" s="166">
        <v>57.34</v>
      </c>
      <c r="AP31" s="166">
        <v>82.66</v>
      </c>
      <c r="AQ31" s="166">
        <v>74.680000000000007</v>
      </c>
      <c r="AR31" s="169">
        <v>79.38</v>
      </c>
      <c r="AS31" s="188">
        <v>89.8</v>
      </c>
      <c r="AT31" s="166">
        <v>89.51</v>
      </c>
      <c r="AU31" s="166">
        <v>57.34</v>
      </c>
      <c r="AV31" s="166">
        <v>82.66</v>
      </c>
      <c r="AW31" s="166">
        <v>74.680000000000007</v>
      </c>
      <c r="AX31" s="169">
        <v>79.38</v>
      </c>
      <c r="AY31" s="186">
        <v>105.49</v>
      </c>
      <c r="AZ31" s="166">
        <v>147.9</v>
      </c>
      <c r="BA31" s="166">
        <v>97.81</v>
      </c>
      <c r="BB31" s="166">
        <v>101.8</v>
      </c>
      <c r="BC31" s="166">
        <v>80.36</v>
      </c>
      <c r="BD31" s="169">
        <v>86.47</v>
      </c>
    </row>
    <row r="32" spans="2:56" x14ac:dyDescent="0.2">
      <c r="B32" s="90" t="s">
        <v>301</v>
      </c>
      <c r="C32" s="95" t="s">
        <v>62</v>
      </c>
      <c r="D32" s="91">
        <f>IF(Table1[[#This Row],[2022 Value known?]]="No",6,0)</f>
        <v>6</v>
      </c>
      <c r="E32" s="83">
        <f>25</f>
        <v>25</v>
      </c>
      <c r="F32" s="96" t="s">
        <v>62</v>
      </c>
      <c r="G32" s="85">
        <f>IF(Table1[[#This Row],[2025 Value known?]]="No",6,0)</f>
        <v>6</v>
      </c>
      <c r="H32" s="83">
        <v>25</v>
      </c>
      <c r="I32" s="84" t="s">
        <v>13</v>
      </c>
      <c r="J32" s="135">
        <f t="shared" si="0"/>
        <v>0.22500000000000001</v>
      </c>
      <c r="K32" s="134">
        <f t="shared" si="1"/>
        <v>9</v>
      </c>
      <c r="L32" s="40"/>
      <c r="M32" s="40"/>
      <c r="N32" s="40"/>
      <c r="O32" s="40"/>
      <c r="P32" s="40"/>
      <c r="Q32" s="40"/>
      <c r="R32" s="180" t="s">
        <v>22</v>
      </c>
      <c r="S32" s="173">
        <v>0.05</v>
      </c>
      <c r="T32" s="152">
        <v>0.05</v>
      </c>
      <c r="U32" s="152">
        <v>0.33</v>
      </c>
      <c r="V32" s="152">
        <v>0.33</v>
      </c>
      <c r="W32" s="152">
        <v>0.53</v>
      </c>
      <c r="X32" s="154">
        <v>0.53</v>
      </c>
      <c r="Y32" s="173">
        <v>0.05</v>
      </c>
      <c r="Z32" s="152">
        <v>0.05</v>
      </c>
      <c r="AA32" s="152">
        <v>0.33</v>
      </c>
      <c r="AB32" s="152">
        <v>0.33</v>
      </c>
      <c r="AC32" s="152">
        <v>0.53</v>
      </c>
      <c r="AD32" s="154">
        <v>0.53</v>
      </c>
      <c r="AE32" s="175">
        <v>0.16</v>
      </c>
      <c r="AF32" s="152">
        <v>0.15</v>
      </c>
      <c r="AG32" s="152">
        <v>0.66</v>
      </c>
      <c r="AH32" s="152">
        <v>0.66</v>
      </c>
      <c r="AI32" s="152">
        <v>0.96</v>
      </c>
      <c r="AJ32" s="154">
        <v>0.92</v>
      </c>
      <c r="AK32" s="40"/>
      <c r="AL32" s="180" t="s">
        <v>22</v>
      </c>
      <c r="AM32" s="188">
        <v>22.63</v>
      </c>
      <c r="AN32" s="166">
        <v>22.69</v>
      </c>
      <c r="AO32" s="166">
        <v>15.78</v>
      </c>
      <c r="AP32" s="166">
        <v>15.82</v>
      </c>
      <c r="AQ32" s="166">
        <v>15.97</v>
      </c>
      <c r="AR32" s="169">
        <v>16</v>
      </c>
      <c r="AS32" s="188">
        <v>22.63</v>
      </c>
      <c r="AT32" s="166">
        <v>22.69</v>
      </c>
      <c r="AU32" s="166">
        <v>15.78</v>
      </c>
      <c r="AV32" s="166">
        <v>15.82</v>
      </c>
      <c r="AW32" s="166">
        <v>15.97</v>
      </c>
      <c r="AX32" s="169">
        <v>16</v>
      </c>
      <c r="AY32" s="186">
        <v>26.79</v>
      </c>
      <c r="AZ32" s="166">
        <v>26.19</v>
      </c>
      <c r="BA32" s="166">
        <v>19.079999999999998</v>
      </c>
      <c r="BB32" s="166">
        <v>19.13</v>
      </c>
      <c r="BC32" s="166">
        <v>17.34</v>
      </c>
      <c r="BD32" s="169">
        <v>17.149999999999999</v>
      </c>
    </row>
    <row r="33" spans="2:56" x14ac:dyDescent="0.2">
      <c r="B33" s="90" t="s">
        <v>302</v>
      </c>
      <c r="C33" s="95" t="s">
        <v>62</v>
      </c>
      <c r="D33" s="91">
        <f>IF(Table1[[#This Row],[2022 Value known?]]="No",6,0)</f>
        <v>6</v>
      </c>
      <c r="E33" s="83">
        <f>25</f>
        <v>25</v>
      </c>
      <c r="F33" s="96" t="s">
        <v>62</v>
      </c>
      <c r="G33" s="85">
        <f>IF(Table1[[#This Row],[2025 Value known?]]="No",6,0)</f>
        <v>6</v>
      </c>
      <c r="H33" s="83">
        <v>25</v>
      </c>
      <c r="I33" s="84" t="s">
        <v>13</v>
      </c>
      <c r="J33" s="135">
        <f t="shared" si="0"/>
        <v>0.22500000000000001</v>
      </c>
      <c r="K33" s="134">
        <f t="shared" si="1"/>
        <v>9</v>
      </c>
      <c r="L33" s="40"/>
      <c r="M33" s="40"/>
      <c r="N33" s="40"/>
      <c r="O33" s="40"/>
      <c r="P33" s="40"/>
      <c r="Q33" s="40"/>
      <c r="R33" s="180" t="s">
        <v>387</v>
      </c>
      <c r="S33" s="173">
        <v>0.06</v>
      </c>
      <c r="T33" s="152">
        <v>0.06</v>
      </c>
      <c r="U33" s="152">
        <v>0.36</v>
      </c>
      <c r="V33" s="152">
        <v>0.36</v>
      </c>
      <c r="W33" s="152">
        <v>0.56000000000000005</v>
      </c>
      <c r="X33" s="154">
        <v>0.56000000000000005</v>
      </c>
      <c r="Y33" s="173">
        <v>0.06</v>
      </c>
      <c r="Z33" s="152">
        <v>0.06</v>
      </c>
      <c r="AA33" s="152">
        <v>0.36</v>
      </c>
      <c r="AB33" s="152">
        <v>0.36</v>
      </c>
      <c r="AC33" s="152">
        <v>0.56000000000000005</v>
      </c>
      <c r="AD33" s="154">
        <v>0.56000000000000005</v>
      </c>
      <c r="AE33" s="175">
        <v>0.18</v>
      </c>
      <c r="AF33" s="152">
        <v>0.18</v>
      </c>
      <c r="AG33" s="152">
        <v>0.77</v>
      </c>
      <c r="AH33" s="152">
        <v>0.74</v>
      </c>
      <c r="AI33" s="152">
        <v>1.04</v>
      </c>
      <c r="AJ33" s="154">
        <v>0.99</v>
      </c>
      <c r="AK33" s="40"/>
      <c r="AL33" s="180" t="s">
        <v>387</v>
      </c>
      <c r="AM33" s="188">
        <v>25.75</v>
      </c>
      <c r="AN33" s="166">
        <v>25.83</v>
      </c>
      <c r="AO33" s="166">
        <v>18.7</v>
      </c>
      <c r="AP33" s="166">
        <v>18.75</v>
      </c>
      <c r="AQ33" s="166">
        <v>20.45</v>
      </c>
      <c r="AR33" s="169">
        <v>20.51</v>
      </c>
      <c r="AS33" s="188">
        <v>25.75</v>
      </c>
      <c r="AT33" s="166">
        <v>25.83</v>
      </c>
      <c r="AU33" s="166">
        <v>18.7</v>
      </c>
      <c r="AV33" s="166">
        <v>18.75</v>
      </c>
      <c r="AW33" s="166">
        <v>20.45</v>
      </c>
      <c r="AX33" s="169">
        <v>20.51</v>
      </c>
      <c r="AY33" s="186">
        <v>30.7</v>
      </c>
      <c r="AZ33" s="166">
        <v>31.51</v>
      </c>
      <c r="BA33" s="166">
        <v>23.29</v>
      </c>
      <c r="BB33" s="166">
        <v>24.03</v>
      </c>
      <c r="BC33" s="166">
        <v>21.57</v>
      </c>
      <c r="BD33" s="169">
        <v>22.42</v>
      </c>
    </row>
    <row r="34" spans="2:56" x14ac:dyDescent="0.2">
      <c r="B34" s="90" t="s">
        <v>303</v>
      </c>
      <c r="C34" s="95" t="s">
        <v>62</v>
      </c>
      <c r="D34" s="91">
        <f>IF(Table1[[#This Row],[2022 Value known?]]="No",6,0)</f>
        <v>6</v>
      </c>
      <c r="E34" s="83">
        <f>25</f>
        <v>25</v>
      </c>
      <c r="F34" s="96" t="s">
        <v>62</v>
      </c>
      <c r="G34" s="85">
        <f>IF(Table1[[#This Row],[2025 Value known?]]="No",6,0)</f>
        <v>6</v>
      </c>
      <c r="H34" s="83">
        <v>25</v>
      </c>
      <c r="I34" s="84" t="s">
        <v>13</v>
      </c>
      <c r="J34" s="135">
        <f t="shared" si="0"/>
        <v>0.22500000000000001</v>
      </c>
      <c r="K34" s="134">
        <f t="shared" si="1"/>
        <v>9</v>
      </c>
      <c r="L34" s="40"/>
      <c r="M34" s="40"/>
      <c r="N34" s="40"/>
      <c r="O34" s="40"/>
      <c r="P34" s="40"/>
      <c r="Q34" s="40"/>
      <c r="R34" s="180" t="s">
        <v>93</v>
      </c>
      <c r="S34" s="173">
        <v>0.05</v>
      </c>
      <c r="T34" s="152">
        <v>0.05</v>
      </c>
      <c r="U34" s="152">
        <v>0.32</v>
      </c>
      <c r="V34" s="152">
        <v>0.32</v>
      </c>
      <c r="W34" s="152">
        <v>0.5</v>
      </c>
      <c r="X34" s="154">
        <v>0.5</v>
      </c>
      <c r="Y34" s="173">
        <v>0.05</v>
      </c>
      <c r="Z34" s="152">
        <v>0.05</v>
      </c>
      <c r="AA34" s="152">
        <v>0.32</v>
      </c>
      <c r="AB34" s="152">
        <v>0.32</v>
      </c>
      <c r="AC34" s="152">
        <v>0.5</v>
      </c>
      <c r="AD34" s="154">
        <v>0.5</v>
      </c>
      <c r="AE34" s="175">
        <v>0.15</v>
      </c>
      <c r="AF34" s="152">
        <v>0.15</v>
      </c>
      <c r="AG34" s="152">
        <v>0.65</v>
      </c>
      <c r="AH34" s="152">
        <v>0.62</v>
      </c>
      <c r="AI34" s="152">
        <v>0.91</v>
      </c>
      <c r="AJ34" s="154">
        <v>0.86</v>
      </c>
      <c r="AK34" s="40"/>
      <c r="AL34" s="180" t="s">
        <v>93</v>
      </c>
      <c r="AM34" s="188">
        <v>27.73</v>
      </c>
      <c r="AN34" s="166">
        <v>2.8</v>
      </c>
      <c r="AO34" s="166">
        <v>19.36</v>
      </c>
      <c r="AP34" s="166">
        <v>19.399999999999999</v>
      </c>
      <c r="AQ34" s="166">
        <v>19.12</v>
      </c>
      <c r="AR34" s="169">
        <v>19.170000000000002</v>
      </c>
      <c r="AS34" s="188">
        <v>27.73</v>
      </c>
      <c r="AT34" s="166">
        <v>2.8</v>
      </c>
      <c r="AU34" s="166">
        <v>19.36</v>
      </c>
      <c r="AV34" s="166">
        <v>19.399999999999999</v>
      </c>
      <c r="AW34" s="166">
        <v>19.12</v>
      </c>
      <c r="AX34" s="169">
        <v>19.170000000000002</v>
      </c>
      <c r="AY34" s="186">
        <v>32.9</v>
      </c>
      <c r="AZ34" s="166">
        <v>31.25</v>
      </c>
      <c r="BA34" s="166">
        <v>23.83</v>
      </c>
      <c r="BB34" s="166">
        <v>22.76</v>
      </c>
      <c r="BC34" s="166">
        <v>21.38</v>
      </c>
      <c r="BD34" s="169">
        <v>20.53</v>
      </c>
    </row>
    <row r="35" spans="2:56" ht="13.5" thickBot="1" x14ac:dyDescent="0.25">
      <c r="B35" s="90" t="s">
        <v>304</v>
      </c>
      <c r="C35" s="95" t="s">
        <v>62</v>
      </c>
      <c r="D35" s="91">
        <f>IF(Table1[[#This Row],[2022 Value known?]]="No",6,0)</f>
        <v>6</v>
      </c>
      <c r="E35" s="83">
        <f>25</f>
        <v>25</v>
      </c>
      <c r="F35" s="96" t="s">
        <v>62</v>
      </c>
      <c r="G35" s="85">
        <f>IF(Table1[[#This Row],[2025 Value known?]]="No",6,0)</f>
        <v>6</v>
      </c>
      <c r="H35" s="83">
        <v>25</v>
      </c>
      <c r="I35" s="84" t="s">
        <v>13</v>
      </c>
      <c r="J35" s="135">
        <f t="shared" ref="J35:J64" si="2">0.25*0.9</f>
        <v>0.22500000000000001</v>
      </c>
      <c r="K35" s="134">
        <f t="shared" si="1"/>
        <v>9</v>
      </c>
      <c r="L35" s="40"/>
      <c r="M35" s="40"/>
      <c r="N35" s="40"/>
      <c r="O35" s="40"/>
      <c r="P35" s="40"/>
      <c r="Q35" s="40"/>
      <c r="R35" s="181" t="s">
        <v>586</v>
      </c>
      <c r="S35" s="155">
        <v>0.05</v>
      </c>
      <c r="T35" s="156">
        <v>0.05</v>
      </c>
      <c r="U35" s="156">
        <v>0.05</v>
      </c>
      <c r="V35" s="156">
        <v>0.05</v>
      </c>
      <c r="W35" s="156">
        <v>0.05</v>
      </c>
      <c r="X35" s="157">
        <v>0.05</v>
      </c>
      <c r="Y35" s="155">
        <v>0.05</v>
      </c>
      <c r="Z35" s="156">
        <v>0.05</v>
      </c>
      <c r="AA35" s="156">
        <v>0.05</v>
      </c>
      <c r="AB35" s="156">
        <v>0.05</v>
      </c>
      <c r="AC35" s="156">
        <v>0.05</v>
      </c>
      <c r="AD35" s="157">
        <v>0.05</v>
      </c>
      <c r="AE35" s="176">
        <v>0.62</v>
      </c>
      <c r="AF35" s="156">
        <v>0.62</v>
      </c>
      <c r="AG35" s="156">
        <v>0.62</v>
      </c>
      <c r="AH35" s="156">
        <v>0.62</v>
      </c>
      <c r="AI35" s="156">
        <v>0.62</v>
      </c>
      <c r="AJ35" s="157">
        <v>0.62</v>
      </c>
      <c r="AK35" s="40"/>
      <c r="AL35" s="181" t="s">
        <v>586</v>
      </c>
      <c r="AM35" s="155">
        <v>27.8</v>
      </c>
      <c r="AN35" s="156">
        <v>27.8</v>
      </c>
      <c r="AO35" s="156">
        <v>27.8</v>
      </c>
      <c r="AP35" s="156">
        <v>27.8</v>
      </c>
      <c r="AQ35" s="156">
        <v>27.8</v>
      </c>
      <c r="AR35" s="157">
        <v>27.8</v>
      </c>
      <c r="AS35" s="155">
        <v>27.8</v>
      </c>
      <c r="AT35" s="156">
        <v>27.8</v>
      </c>
      <c r="AU35" s="156">
        <v>27.8</v>
      </c>
      <c r="AV35" s="156">
        <v>27.8</v>
      </c>
      <c r="AW35" s="156">
        <v>27.8</v>
      </c>
      <c r="AX35" s="157">
        <v>27.8</v>
      </c>
      <c r="AY35" s="189">
        <v>26.19</v>
      </c>
      <c r="AZ35" s="170">
        <v>26.19</v>
      </c>
      <c r="BA35" s="170">
        <v>26.19</v>
      </c>
      <c r="BB35" s="170">
        <v>26.19</v>
      </c>
      <c r="BC35" s="170">
        <v>26.19</v>
      </c>
      <c r="BD35" s="171">
        <v>26.19</v>
      </c>
    </row>
    <row r="36" spans="2:56" ht="13.5" thickBot="1" x14ac:dyDescent="0.25">
      <c r="B36" s="90" t="s">
        <v>305</v>
      </c>
      <c r="C36" s="95" t="s">
        <v>62</v>
      </c>
      <c r="D36" s="91">
        <f>IF(Table1[[#This Row],[2022 Value known?]]="No",6,0)</f>
        <v>6</v>
      </c>
      <c r="E36" s="83">
        <f>25</f>
        <v>25</v>
      </c>
      <c r="F36" s="96" t="s">
        <v>62</v>
      </c>
      <c r="G36" s="85">
        <f>IF(Table1[[#This Row],[2025 Value known?]]="No",6,0)</f>
        <v>6</v>
      </c>
      <c r="H36" s="83">
        <v>25</v>
      </c>
      <c r="I36" s="84" t="s">
        <v>13</v>
      </c>
      <c r="J36" s="135">
        <f t="shared" si="2"/>
        <v>0.22500000000000001</v>
      </c>
      <c r="K36" s="134">
        <f t="shared" si="1"/>
        <v>9</v>
      </c>
      <c r="L36" s="40"/>
      <c r="M36" s="40"/>
      <c r="N36" s="40"/>
      <c r="O36" s="40"/>
      <c r="P36" s="40"/>
      <c r="AH36" s="40"/>
      <c r="AI36" s="40"/>
      <c r="AJ36" s="40"/>
      <c r="AK36" s="40"/>
      <c r="AL36" s="40"/>
      <c r="AM36" s="40"/>
      <c r="AN36" s="40"/>
      <c r="AO36" s="40"/>
      <c r="AP36" s="40"/>
      <c r="AQ36" s="40"/>
      <c r="AR36" s="40"/>
    </row>
    <row r="37" spans="2:56" ht="27.6" customHeight="1" x14ac:dyDescent="0.2">
      <c r="B37" s="90" t="s">
        <v>306</v>
      </c>
      <c r="C37" s="95" t="s">
        <v>62</v>
      </c>
      <c r="D37" s="91">
        <f>IF(Table1[[#This Row],[2022 Value known?]]="No",6,0)</f>
        <v>6</v>
      </c>
      <c r="E37" s="83">
        <f>25</f>
        <v>25</v>
      </c>
      <c r="F37" s="96" t="s">
        <v>62</v>
      </c>
      <c r="G37" s="85">
        <f>IF(Table1[[#This Row],[2025 Value known?]]="No",6,0)</f>
        <v>6</v>
      </c>
      <c r="H37" s="83">
        <v>25</v>
      </c>
      <c r="I37" s="84" t="s">
        <v>13</v>
      </c>
      <c r="J37" s="135">
        <f t="shared" si="2"/>
        <v>0.22500000000000001</v>
      </c>
      <c r="K37" s="134">
        <f t="shared" si="1"/>
        <v>9</v>
      </c>
      <c r="L37" s="40"/>
      <c r="M37" s="40"/>
      <c r="N37" s="40"/>
      <c r="O37" s="40"/>
      <c r="P37" s="40"/>
      <c r="R37" s="40"/>
      <c r="Y37" s="40"/>
      <c r="Z37" s="118" t="s">
        <v>471</v>
      </c>
      <c r="AA37" s="122" t="s">
        <v>472</v>
      </c>
      <c r="AB37" s="122" t="s">
        <v>473</v>
      </c>
      <c r="AC37" s="478" t="s">
        <v>576</v>
      </c>
      <c r="AD37" s="479"/>
      <c r="AE37" s="478" t="s">
        <v>577</v>
      </c>
      <c r="AF37" s="479"/>
      <c r="AG37" s="478" t="s">
        <v>578</v>
      </c>
      <c r="AH37" s="479"/>
      <c r="AI37" s="478" t="s">
        <v>475</v>
      </c>
      <c r="AJ37" s="479"/>
      <c r="AK37" s="478" t="s">
        <v>448</v>
      </c>
      <c r="AL37" s="480"/>
      <c r="AM37" s="40"/>
      <c r="AN37" s="40"/>
      <c r="AO37" s="40"/>
      <c r="AP37" s="40"/>
      <c r="AQ37" s="40"/>
      <c r="AR37" s="40"/>
    </row>
    <row r="38" spans="2:56" x14ac:dyDescent="0.2">
      <c r="B38" s="90" t="s">
        <v>307</v>
      </c>
      <c r="C38" s="95" t="s">
        <v>62</v>
      </c>
      <c r="D38" s="91">
        <f>IF(Table1[[#This Row],[2022 Value known?]]="No",6,0)</f>
        <v>6</v>
      </c>
      <c r="E38" s="83">
        <f>25</f>
        <v>25</v>
      </c>
      <c r="F38" s="96" t="s">
        <v>62</v>
      </c>
      <c r="G38" s="85">
        <f>IF(Table1[[#This Row],[2025 Value known?]]="No",6,0)</f>
        <v>6</v>
      </c>
      <c r="H38" s="83">
        <v>25</v>
      </c>
      <c r="I38" s="84" t="s">
        <v>13</v>
      </c>
      <c r="J38" s="135">
        <f t="shared" si="2"/>
        <v>0.22500000000000001</v>
      </c>
      <c r="K38" s="134">
        <f t="shared" si="1"/>
        <v>9</v>
      </c>
      <c r="L38" s="40"/>
      <c r="M38" s="40"/>
      <c r="N38" s="40"/>
      <c r="O38" s="40"/>
      <c r="P38" s="40"/>
      <c r="R38" s="40"/>
      <c r="Y38" s="40"/>
      <c r="Z38" s="119"/>
      <c r="AA38" s="99"/>
      <c r="AB38" s="99"/>
      <c r="AC38" s="99" t="s">
        <v>436</v>
      </c>
      <c r="AD38" s="99" t="s">
        <v>437</v>
      </c>
      <c r="AE38" s="99" t="s">
        <v>436</v>
      </c>
      <c r="AF38" s="99" t="s">
        <v>437</v>
      </c>
      <c r="AG38" s="99" t="s">
        <v>436</v>
      </c>
      <c r="AH38" s="99" t="s">
        <v>437</v>
      </c>
      <c r="AI38" s="99" t="s">
        <v>436</v>
      </c>
      <c r="AJ38" s="99" t="s">
        <v>437</v>
      </c>
      <c r="AK38" s="99" t="s">
        <v>436</v>
      </c>
      <c r="AL38" s="117" t="s">
        <v>437</v>
      </c>
      <c r="AM38" s="40"/>
      <c r="AN38" s="40"/>
      <c r="AO38" s="40"/>
      <c r="AP38" s="40"/>
      <c r="AQ38" s="40"/>
      <c r="AR38" s="40"/>
    </row>
    <row r="39" spans="2:56" x14ac:dyDescent="0.2">
      <c r="B39" s="90" t="s">
        <v>308</v>
      </c>
      <c r="C39" s="95" t="s">
        <v>62</v>
      </c>
      <c r="D39" s="91">
        <f>IF(Table1[[#This Row],[2022 Value known?]]="No",6,0)</f>
        <v>6</v>
      </c>
      <c r="E39" s="83">
        <f>25</f>
        <v>25</v>
      </c>
      <c r="F39" s="96" t="s">
        <v>62</v>
      </c>
      <c r="G39" s="85">
        <f>IF(Table1[[#This Row],[2025 Value known?]]="No",6,0)</f>
        <v>6</v>
      </c>
      <c r="H39" s="83">
        <v>25</v>
      </c>
      <c r="I39" s="84" t="s">
        <v>13</v>
      </c>
      <c r="J39" s="135">
        <f t="shared" si="2"/>
        <v>0.22500000000000001</v>
      </c>
      <c r="K39" s="134">
        <f t="shared" si="1"/>
        <v>9</v>
      </c>
      <c r="L39" s="40"/>
      <c r="M39" s="40"/>
      <c r="N39" s="40"/>
      <c r="O39" s="40"/>
      <c r="P39" s="40"/>
      <c r="R39" s="40"/>
      <c r="Y39" s="40"/>
      <c r="Z39" s="120" t="s">
        <v>476</v>
      </c>
      <c r="AA39" s="123">
        <v>562.54999999999995</v>
      </c>
      <c r="AB39" s="125">
        <f>(-129.5+(0.424*AA39)-((2.28*0.0001)*(AA39*AA39))-((4.56*0.00000001)*(AA39*AA39*AA39)))</f>
        <v>28.749764706369277</v>
      </c>
      <c r="AC39" s="125">
        <f t="shared" ref="AC39:AC48" si="3">((((0.829*$AB$51)+(0.078*AB39)-20.7)/100)*AA39)*($AC$51*0.01)</f>
        <v>0.74063687402354628</v>
      </c>
      <c r="AD39" s="125">
        <f t="shared" ref="AD39:AD48" si="4">((((0.829*$AB$56)+(0.078*AB39)-20.7)/100)*AA39)*($AC$56*0.01)</f>
        <v>7.8065470051636776</v>
      </c>
      <c r="AE39" s="125">
        <f t="shared" ref="AE39:AE48" si="5">((((0.829*$AB$52)+(0.078*AB39)-20.7)/100)*AA39)*($AC$52*0.01)</f>
        <v>0.30086509917354659</v>
      </c>
      <c r="AF39" s="125">
        <f t="shared" ref="AF39:AF48" si="6">((((0.829*$AB$57)+(0.078*AB39)-20.7)/100)*AA39)*($AC$57*0.01)</f>
        <v>4.7495968629136778</v>
      </c>
      <c r="AG39" s="125">
        <f t="shared" ref="AG39:AG48" si="7">((((0.829*$AB$53)+(0.078*AB39)-20.7)/100)*AA39)*($AC$53*0.01)</f>
        <v>0.14790100357354649</v>
      </c>
      <c r="AH39" s="125">
        <f t="shared" ref="AH39:AH48" si="8">((((0.829*$AB$58)+(0.078*AB39)-20.7)/100)*AA39)*($AC$58*0.01)</f>
        <v>3.6863098569136761</v>
      </c>
      <c r="AI39" s="125">
        <f t="shared" ref="AI39:AI48" si="9">((((0.829*$AB$54)+(0.078*AB39)-20.7)/100)*AA39)*($AC$54*0.01)</f>
        <v>0.86371364551722929</v>
      </c>
      <c r="AJ39" s="125">
        <f t="shared" ref="AJ39:AJ48" si="10">((((0.829*$AB$59)+(0.078*AB39)-20.7)/100)*AA39)*($AC$59*0.01)</f>
        <v>5.510321943687293</v>
      </c>
      <c r="AK39" s="125">
        <f t="shared" ref="AK39:AK48" si="11">((((0.829*$AB$55)+(0.078*AB39)-20.7)/100)*AA39)*($AC$55*0.01)</f>
        <v>-2.7167810873652593E-3</v>
      </c>
      <c r="AL39" s="115">
        <f t="shared" ref="AL39:AL48" si="12">((((0.829*$AB$60)+(0.078*AB39)-20.7)/100)*AA39)*($AC$60*0.01)</f>
        <v>1.546202943696483</v>
      </c>
      <c r="AM39" s="40"/>
      <c r="AN39" s="40"/>
      <c r="AO39" s="40"/>
      <c r="AP39" s="40"/>
      <c r="AQ39" s="40"/>
      <c r="AR39" s="40"/>
    </row>
    <row r="40" spans="2:56" x14ac:dyDescent="0.2">
      <c r="B40" s="90" t="s">
        <v>309</v>
      </c>
      <c r="C40" s="95" t="s">
        <v>62</v>
      </c>
      <c r="D40" s="91">
        <f>IF(Table1[[#This Row],[2022 Value known?]]="No",6,0)</f>
        <v>6</v>
      </c>
      <c r="E40" s="83">
        <f>25</f>
        <v>25</v>
      </c>
      <c r="F40" s="96" t="s">
        <v>62</v>
      </c>
      <c r="G40" s="85">
        <f>IF(Table1[[#This Row],[2025 Value known?]]="No",6,0)</f>
        <v>6</v>
      </c>
      <c r="H40" s="83">
        <v>25</v>
      </c>
      <c r="I40" s="84" t="s">
        <v>13</v>
      </c>
      <c r="J40" s="135">
        <f t="shared" si="2"/>
        <v>0.22500000000000001</v>
      </c>
      <c r="K40" s="134">
        <f t="shared" si="1"/>
        <v>9</v>
      </c>
      <c r="L40" s="40"/>
      <c r="M40" s="40"/>
      <c r="N40" s="40"/>
      <c r="O40" s="40"/>
      <c r="P40" s="40"/>
      <c r="Y40" s="40"/>
      <c r="Z40" s="120" t="s">
        <v>477</v>
      </c>
      <c r="AA40" s="123">
        <v>587.54999999999995</v>
      </c>
      <c r="AB40" s="125">
        <f t="shared" ref="AB40:AB45" si="13">(-129.5+(0.424*AA40)-((2.28*0.0001)*(AA40*AA40))-((4.56*0.00000001)*(AA40*AA40*AA40)))</f>
        <v>31.663082422819311</v>
      </c>
      <c r="AC40" s="125">
        <f t="shared" si="3"/>
        <v>0.77902522270993246</v>
      </c>
      <c r="AD40" s="125">
        <f t="shared" si="4"/>
        <v>8.191525343593435</v>
      </c>
      <c r="AE40" s="125">
        <f t="shared" si="5"/>
        <v>0.31970977285993291</v>
      </c>
      <c r="AF40" s="125">
        <f t="shared" si="6"/>
        <v>4.9987228263434362</v>
      </c>
      <c r="AG40" s="125">
        <f t="shared" si="7"/>
        <v>0.15994787725993279</v>
      </c>
      <c r="AH40" s="125">
        <f t="shared" si="8"/>
        <v>3.888182820343435</v>
      </c>
      <c r="AI40" s="125">
        <f t="shared" si="9"/>
        <v>0.90610293114141427</v>
      </c>
      <c r="AJ40" s="125">
        <f t="shared" si="10"/>
        <v>5.775497524183165</v>
      </c>
      <c r="AK40" s="125">
        <f t="shared" si="11"/>
        <v>9.9795037037148497E-5</v>
      </c>
      <c r="AL40" s="115">
        <f t="shared" si="12"/>
        <v>1.6373473431919194</v>
      </c>
      <c r="AM40" s="40"/>
      <c r="AN40" s="40"/>
      <c r="AO40" s="40"/>
      <c r="AP40" s="40"/>
      <c r="AQ40" s="40"/>
      <c r="AR40" s="40"/>
    </row>
    <row r="41" spans="2:56" x14ac:dyDescent="0.2">
      <c r="B41" s="90" t="s">
        <v>310</v>
      </c>
      <c r="C41" s="95" t="s">
        <v>62</v>
      </c>
      <c r="D41" s="91">
        <f>IF(Table1[[#This Row],[2022 Value known?]]="No",6,0)</f>
        <v>6</v>
      </c>
      <c r="E41" s="83">
        <f>25</f>
        <v>25</v>
      </c>
      <c r="F41" s="96" t="s">
        <v>62</v>
      </c>
      <c r="G41" s="85">
        <f>IF(Table1[[#This Row],[2025 Value known?]]="No",6,0)</f>
        <v>6</v>
      </c>
      <c r="H41" s="83">
        <v>25</v>
      </c>
      <c r="I41" s="84" t="s">
        <v>13</v>
      </c>
      <c r="J41" s="135">
        <f t="shared" si="2"/>
        <v>0.22500000000000001</v>
      </c>
      <c r="K41" s="134">
        <f t="shared" si="1"/>
        <v>9</v>
      </c>
      <c r="L41" s="40"/>
      <c r="M41" s="40"/>
      <c r="N41" s="40"/>
      <c r="O41" s="40"/>
      <c r="P41" s="40"/>
      <c r="Y41" s="40"/>
      <c r="Z41" s="120" t="s">
        <v>478</v>
      </c>
      <c r="AA41" s="123">
        <v>612.54999999999995</v>
      </c>
      <c r="AB41" s="125">
        <f t="shared" si="13"/>
        <v>34.190929089269275</v>
      </c>
      <c r="AC41" s="125">
        <f t="shared" si="3"/>
        <v>0.81712429820639465</v>
      </c>
      <c r="AD41" s="125">
        <f t="shared" si="4"/>
        <v>8.574492880581035</v>
      </c>
      <c r="AE41" s="125">
        <f t="shared" si="5"/>
        <v>0.33826517335639467</v>
      </c>
      <c r="AF41" s="125">
        <f t="shared" si="6"/>
        <v>5.2458379883310373</v>
      </c>
      <c r="AG41" s="125">
        <f t="shared" si="7"/>
        <v>0.17170547775639469</v>
      </c>
      <c r="AH41" s="125">
        <f t="shared" si="8"/>
        <v>4.088044982331037</v>
      </c>
      <c r="AI41" s="125">
        <f t="shared" si="9"/>
        <v>0.94828055345589835</v>
      </c>
      <c r="AJ41" s="125">
        <f t="shared" si="10"/>
        <v>6.039600677243218</v>
      </c>
      <c r="AK41" s="125">
        <f t="shared" si="11"/>
        <v>2.7611514009923208E-3</v>
      </c>
      <c r="AL41" s="115">
        <f t="shared" si="12"/>
        <v>1.7273064281530324</v>
      </c>
      <c r="AM41" s="40"/>
      <c r="AN41" s="40"/>
      <c r="AO41" s="40"/>
      <c r="AP41" s="40"/>
      <c r="AQ41" s="40"/>
      <c r="AR41" s="40"/>
    </row>
    <row r="42" spans="2:56" x14ac:dyDescent="0.2">
      <c r="B42" s="90" t="s">
        <v>311</v>
      </c>
      <c r="C42" s="95" t="s">
        <v>62</v>
      </c>
      <c r="D42" s="91">
        <f>IF(Table1[[#This Row],[2022 Value known?]]="No",6,0)</f>
        <v>6</v>
      </c>
      <c r="E42" s="83">
        <f>25</f>
        <v>25</v>
      </c>
      <c r="F42" s="96" t="s">
        <v>62</v>
      </c>
      <c r="G42" s="85">
        <f>IF(Table1[[#This Row],[2025 Value known?]]="No",6,0)</f>
        <v>6</v>
      </c>
      <c r="H42" s="83">
        <v>25</v>
      </c>
      <c r="I42" s="84" t="s">
        <v>13</v>
      </c>
      <c r="J42" s="135">
        <f t="shared" si="2"/>
        <v>0.22500000000000001</v>
      </c>
      <c r="K42" s="134">
        <f t="shared" si="1"/>
        <v>9</v>
      </c>
      <c r="L42" s="40"/>
      <c r="M42" s="40"/>
      <c r="N42" s="40"/>
      <c r="O42" s="40"/>
      <c r="P42" s="40"/>
      <c r="Y42" s="40"/>
      <c r="Z42" s="120" t="s">
        <v>479</v>
      </c>
      <c r="AA42" s="123">
        <v>637.54999999999995</v>
      </c>
      <c r="AB42" s="125">
        <f t="shared" si="13"/>
        <v>36.329029705719307</v>
      </c>
      <c r="AC42" s="125">
        <f t="shared" si="3"/>
        <v>0.85483292904864216</v>
      </c>
      <c r="AD42" s="125">
        <f t="shared" si="4"/>
        <v>8.9547463510698293</v>
      </c>
      <c r="AE42" s="125">
        <f t="shared" si="5"/>
        <v>0.35643012919864242</v>
      </c>
      <c r="AF42" s="125">
        <f t="shared" si="6"/>
        <v>5.4902390838198327</v>
      </c>
      <c r="AG42" s="125">
        <f t="shared" si="7"/>
        <v>0.18307263359864251</v>
      </c>
      <c r="AH42" s="125">
        <f t="shared" si="8"/>
        <v>4.2851930778198319</v>
      </c>
      <c r="AI42" s="125">
        <f t="shared" si="9"/>
        <v>0.99017248455998208</v>
      </c>
      <c r="AJ42" s="125">
        <f t="shared" si="10"/>
        <v>6.302256328170575</v>
      </c>
      <c r="AK42" s="125">
        <f t="shared" si="11"/>
        <v>5.2130008773204088E-3</v>
      </c>
      <c r="AL42" s="115">
        <f t="shared" si="12"/>
        <v>1.815665642335901</v>
      </c>
      <c r="AM42" s="40"/>
      <c r="AN42" s="40"/>
      <c r="AO42" s="40"/>
      <c r="AP42" s="40"/>
      <c r="AQ42" s="40"/>
      <c r="AR42" s="40"/>
    </row>
    <row r="43" spans="2:56" x14ac:dyDescent="0.2">
      <c r="B43" s="90" t="s">
        <v>312</v>
      </c>
      <c r="C43" s="95" t="s">
        <v>62</v>
      </c>
      <c r="D43" s="91">
        <f>IF(Table1[[#This Row],[2022 Value known?]]="No",6,0)</f>
        <v>6</v>
      </c>
      <c r="E43" s="83">
        <f>25</f>
        <v>25</v>
      </c>
      <c r="F43" s="96" t="s">
        <v>62</v>
      </c>
      <c r="G43" s="85">
        <f>IF(Table1[[#This Row],[2025 Value known?]]="No",6,0)</f>
        <v>6</v>
      </c>
      <c r="H43" s="83">
        <v>25</v>
      </c>
      <c r="I43" s="84" t="s">
        <v>13</v>
      </c>
      <c r="J43" s="135">
        <f t="shared" si="2"/>
        <v>0.22500000000000001</v>
      </c>
      <c r="K43" s="134">
        <f t="shared" si="1"/>
        <v>9</v>
      </c>
      <c r="L43" s="40"/>
      <c r="M43" s="40"/>
      <c r="N43" s="40"/>
      <c r="O43" s="40"/>
      <c r="P43" s="40"/>
      <c r="Y43" s="40"/>
      <c r="Z43" s="120" t="s">
        <v>480</v>
      </c>
      <c r="AA43" s="123">
        <v>662.55</v>
      </c>
      <c r="AB43" s="125">
        <f t="shared" si="13"/>
        <v>38.073109272169319</v>
      </c>
      <c r="AC43" s="352">
        <f t="shared" si="3"/>
        <v>0.89204857662738568</v>
      </c>
      <c r="AD43" s="352">
        <f t="shared" si="4"/>
        <v>9.3315729866781698</v>
      </c>
      <c r="AE43" s="125">
        <f t="shared" si="5"/>
        <v>0.37410210177738579</v>
      </c>
      <c r="AF43" s="125">
        <f t="shared" si="6"/>
        <v>5.7312133444281717</v>
      </c>
      <c r="AG43" s="125">
        <f t="shared" si="7"/>
        <v>0.19394680617738583</v>
      </c>
      <c r="AH43" s="125">
        <f t="shared" si="8"/>
        <v>4.4789143384281704</v>
      </c>
      <c r="AI43" s="352">
        <f t="shared" si="9"/>
        <v>1.0317036962029649</v>
      </c>
      <c r="AJ43" s="352">
        <f t="shared" si="10"/>
        <v>6.5630843338283551</v>
      </c>
      <c r="AK43" s="125">
        <f t="shared" si="11"/>
        <v>7.4003227488412269E-3</v>
      </c>
      <c r="AL43" s="115">
        <f t="shared" si="12"/>
        <v>1.9020048275366057</v>
      </c>
      <c r="AM43" s="40"/>
      <c r="AN43" s="40"/>
      <c r="AO43" s="40"/>
      <c r="AP43" s="40"/>
      <c r="AQ43" s="40"/>
      <c r="AR43" s="40"/>
    </row>
    <row r="44" spans="2:56" x14ac:dyDescent="0.2">
      <c r="B44" s="90" t="s">
        <v>313</v>
      </c>
      <c r="C44" s="95" t="s">
        <v>62</v>
      </c>
      <c r="D44" s="91">
        <f>IF(Table1[[#This Row],[2022 Value known?]]="No",6,0)</f>
        <v>6</v>
      </c>
      <c r="E44" s="83">
        <f>25</f>
        <v>25</v>
      </c>
      <c r="F44" s="96" t="s">
        <v>62</v>
      </c>
      <c r="G44" s="85">
        <f>IF(Table1[[#This Row],[2025 Value known?]]="No",6,0)</f>
        <v>6</v>
      </c>
      <c r="H44" s="83">
        <v>25</v>
      </c>
      <c r="I44" s="84" t="s">
        <v>13</v>
      </c>
      <c r="J44" s="135">
        <f t="shared" si="2"/>
        <v>0.22500000000000001</v>
      </c>
      <c r="K44" s="134">
        <f t="shared" si="1"/>
        <v>9</v>
      </c>
      <c r="L44" s="40"/>
      <c r="M44" s="40"/>
      <c r="N44" s="40"/>
      <c r="O44" s="40"/>
      <c r="P44" s="40"/>
      <c r="Y44" s="40"/>
      <c r="Z44" s="120" t="s">
        <v>481</v>
      </c>
      <c r="AA44" s="123">
        <v>687.55</v>
      </c>
      <c r="AB44" s="125">
        <f t="shared" si="13"/>
        <v>39.418892788619281</v>
      </c>
      <c r="AC44" s="125">
        <f t="shared" si="3"/>
        <v>0.92866733518833489</v>
      </c>
      <c r="AD44" s="125">
        <f t="shared" si="4"/>
        <v>9.7042505156994014</v>
      </c>
      <c r="AE44" s="125">
        <f t="shared" si="5"/>
        <v>0.39117718533833484</v>
      </c>
      <c r="AF44" s="125">
        <f t="shared" si="6"/>
        <v>5.9680384984494017</v>
      </c>
      <c r="AG44" s="125">
        <f t="shared" si="7"/>
        <v>0.20422408973833489</v>
      </c>
      <c r="AH44" s="125">
        <f t="shared" si="8"/>
        <v>4.6684864924494009</v>
      </c>
      <c r="AI44" s="125">
        <f t="shared" si="9"/>
        <v>1.0727981597841474</v>
      </c>
      <c r="AJ44" s="125">
        <f t="shared" si="10"/>
        <v>6.8216994826396791</v>
      </c>
      <c r="AK44" s="125">
        <f t="shared" si="11"/>
        <v>9.2673627083748791E-3</v>
      </c>
      <c r="AL44" s="115">
        <f t="shared" si="12"/>
        <v>1.9858982235912259</v>
      </c>
      <c r="AM44" s="40"/>
      <c r="AN44" s="40"/>
      <c r="AO44" s="40"/>
      <c r="AP44" s="40"/>
      <c r="AQ44" s="40"/>
      <c r="AR44" s="40"/>
    </row>
    <row r="45" spans="2:56" x14ac:dyDescent="0.2">
      <c r="B45" s="90" t="s">
        <v>314</v>
      </c>
      <c r="C45" s="95" t="s">
        <v>62</v>
      </c>
      <c r="D45" s="91">
        <f>IF(Table1[[#This Row],[2022 Value known?]]="No",6,0)</f>
        <v>6</v>
      </c>
      <c r="E45" s="83">
        <f>25</f>
        <v>25</v>
      </c>
      <c r="F45" s="96" t="s">
        <v>62</v>
      </c>
      <c r="G45" s="85">
        <f>IF(Table1[[#This Row],[2025 Value known?]]="No",6,0)</f>
        <v>6</v>
      </c>
      <c r="H45" s="83">
        <v>25</v>
      </c>
      <c r="I45" s="84" t="s">
        <v>13</v>
      </c>
      <c r="J45" s="135">
        <f t="shared" si="2"/>
        <v>0.22500000000000001</v>
      </c>
      <c r="K45" s="134">
        <f t="shared" si="1"/>
        <v>9</v>
      </c>
      <c r="L45" s="40"/>
      <c r="M45" s="40"/>
      <c r="N45" s="40"/>
      <c r="O45" s="40"/>
      <c r="P45" s="40"/>
      <c r="Y45" s="40"/>
      <c r="Z45" s="120" t="s">
        <v>482</v>
      </c>
      <c r="AA45" s="123">
        <v>725.05</v>
      </c>
      <c r="AB45" s="125">
        <f t="shared" si="13"/>
        <v>40.68141140704433</v>
      </c>
      <c r="AC45" s="125">
        <f t="shared" si="3"/>
        <v>0.9822456478254864</v>
      </c>
      <c r="AD45" s="125">
        <f t="shared" si="4"/>
        <v>10.253883877933259</v>
      </c>
      <c r="AE45" s="125">
        <f t="shared" si="5"/>
        <v>0.41543998547548655</v>
      </c>
      <c r="AF45" s="125">
        <f t="shared" si="6"/>
        <v>6.3138932981832596</v>
      </c>
      <c r="AG45" s="125">
        <f t="shared" si="7"/>
        <v>0.2182901898754866</v>
      </c>
      <c r="AH45" s="125">
        <f t="shared" si="8"/>
        <v>4.9434617921832587</v>
      </c>
      <c r="AI45" s="125">
        <f t="shared" si="9"/>
        <v>1.1334521781771849</v>
      </c>
      <c r="AJ45" s="125">
        <f t="shared" si="10"/>
        <v>7.2046179758310709</v>
      </c>
      <c r="AK45" s="125">
        <f t="shared" si="11"/>
        <v>1.1343626196602601E-2</v>
      </c>
      <c r="AL45" s="115">
        <f t="shared" si="12"/>
        <v>2.1062073265922372</v>
      </c>
      <c r="AM45" s="40"/>
      <c r="AN45" s="40"/>
      <c r="AO45" s="40"/>
      <c r="AP45" s="40"/>
      <c r="AQ45" s="40"/>
      <c r="AR45" s="40"/>
    </row>
    <row r="46" spans="2:56" x14ac:dyDescent="0.2">
      <c r="B46" s="90" t="s">
        <v>315</v>
      </c>
      <c r="C46" s="95" t="s">
        <v>62</v>
      </c>
      <c r="D46" s="91">
        <f>IF(Table1[[#This Row],[2022 Value known?]]="No",6,0)</f>
        <v>6</v>
      </c>
      <c r="E46" s="83">
        <f>25</f>
        <v>25</v>
      </c>
      <c r="F46" s="96" t="s">
        <v>62</v>
      </c>
      <c r="G46" s="85">
        <f>IF(Table1[[#This Row],[2025 Value known?]]="No",6,0)</f>
        <v>6</v>
      </c>
      <c r="H46" s="83">
        <v>25</v>
      </c>
      <c r="I46" s="84" t="s">
        <v>13</v>
      </c>
      <c r="J46" s="135">
        <f t="shared" si="2"/>
        <v>0.22500000000000001</v>
      </c>
      <c r="K46" s="134">
        <f t="shared" si="1"/>
        <v>9</v>
      </c>
      <c r="L46" s="40"/>
      <c r="M46" s="40"/>
      <c r="N46" s="40"/>
      <c r="O46" s="40"/>
      <c r="P46" s="40"/>
      <c r="Y46" s="40"/>
      <c r="Z46" s="120" t="s">
        <v>483</v>
      </c>
      <c r="AA46" s="123">
        <v>775.05</v>
      </c>
      <c r="AB46" s="125">
        <v>41</v>
      </c>
      <c r="AC46" s="125">
        <f t="shared" si="3"/>
        <v>1.0507717123499996</v>
      </c>
      <c r="AD46" s="125">
        <f t="shared" si="4"/>
        <v>10.966488594749999</v>
      </c>
      <c r="AE46" s="125">
        <f t="shared" si="5"/>
        <v>0.44487869999999979</v>
      </c>
      <c r="AF46" s="125">
        <f t="shared" si="6"/>
        <v>6.754793265</v>
      </c>
      <c r="AG46" s="125">
        <f t="shared" si="7"/>
        <v>0.23413330439999991</v>
      </c>
      <c r="AH46" s="125">
        <f t="shared" si="8"/>
        <v>5.289855758999999</v>
      </c>
      <c r="AI46" s="125">
        <f t="shared" si="9"/>
        <v>1.2121937009999997</v>
      </c>
      <c r="AJ46" s="125">
        <f t="shared" si="10"/>
        <v>7.7043814247999967</v>
      </c>
      <c r="AK46" s="125">
        <f t="shared" si="11"/>
        <v>1.254960960000001E-2</v>
      </c>
      <c r="AL46" s="115">
        <f t="shared" si="12"/>
        <v>2.2546886543999993</v>
      </c>
      <c r="AM46" s="40"/>
      <c r="AN46" s="40"/>
      <c r="AO46" s="40"/>
      <c r="AP46" s="40"/>
      <c r="AQ46" s="40"/>
      <c r="AR46" s="40"/>
    </row>
    <row r="47" spans="2:56" x14ac:dyDescent="0.2">
      <c r="B47" s="90" t="s">
        <v>316</v>
      </c>
      <c r="C47" s="95" t="s">
        <v>62</v>
      </c>
      <c r="D47" s="91">
        <f>IF(Table1[[#This Row],[2022 Value known?]]="No",6,0)</f>
        <v>6</v>
      </c>
      <c r="E47" s="83">
        <f>25</f>
        <v>25</v>
      </c>
      <c r="F47" s="96" t="s">
        <v>62</v>
      </c>
      <c r="G47" s="85">
        <f>IF(Table1[[#This Row],[2025 Value known?]]="No",6,0)</f>
        <v>6</v>
      </c>
      <c r="H47" s="83">
        <v>25</v>
      </c>
      <c r="I47" s="84" t="s">
        <v>13</v>
      </c>
      <c r="J47" s="135">
        <f t="shared" si="2"/>
        <v>0.22500000000000001</v>
      </c>
      <c r="K47" s="134">
        <f t="shared" si="1"/>
        <v>9</v>
      </c>
      <c r="L47" s="40"/>
      <c r="M47" s="40"/>
      <c r="N47" s="40"/>
      <c r="O47" s="40"/>
      <c r="P47" s="40"/>
      <c r="Y47" s="40"/>
      <c r="Z47" s="120" t="s">
        <v>484</v>
      </c>
      <c r="AA47" s="123">
        <v>825.05</v>
      </c>
      <c r="AB47" s="125">
        <v>41</v>
      </c>
      <c r="AC47" s="125">
        <f t="shared" si="3"/>
        <v>1.1185590623499995</v>
      </c>
      <c r="AD47" s="125">
        <f t="shared" si="4"/>
        <v>11.673958344749996</v>
      </c>
      <c r="AE47" s="125">
        <f t="shared" si="5"/>
        <v>0.4735786999999998</v>
      </c>
      <c r="AF47" s="125">
        <f t="shared" si="6"/>
        <v>7.1905582649999999</v>
      </c>
      <c r="AG47" s="125">
        <f t="shared" si="7"/>
        <v>0.2492377043999999</v>
      </c>
      <c r="AH47" s="125">
        <f t="shared" si="8"/>
        <v>5.6311147589999999</v>
      </c>
      <c r="AI47" s="125">
        <f t="shared" si="9"/>
        <v>1.2903947009999996</v>
      </c>
      <c r="AJ47" s="125">
        <f t="shared" si="10"/>
        <v>8.2014062247999959</v>
      </c>
      <c r="AK47" s="125">
        <f t="shared" si="11"/>
        <v>1.335920960000001E-2</v>
      </c>
      <c r="AL47" s="115">
        <f t="shared" si="12"/>
        <v>2.4001430543999995</v>
      </c>
      <c r="AM47" s="40"/>
      <c r="AN47" s="40"/>
      <c r="AO47" s="40"/>
      <c r="AP47" s="40"/>
      <c r="AQ47" s="40"/>
      <c r="AR47" s="40"/>
    </row>
    <row r="48" spans="2:56" ht="13.5" thickBot="1" x14ac:dyDescent="0.25">
      <c r="B48" s="90" t="s">
        <v>317</v>
      </c>
      <c r="C48" s="95" t="s">
        <v>62</v>
      </c>
      <c r="D48" s="91">
        <f>IF(Table1[[#This Row],[2022 Value known?]]="No",6,0)</f>
        <v>6</v>
      </c>
      <c r="E48" s="83">
        <f>25</f>
        <v>25</v>
      </c>
      <c r="F48" s="96" t="s">
        <v>62</v>
      </c>
      <c r="G48" s="85">
        <f>IF(Table1[[#This Row],[2025 Value known?]]="No",6,0)</f>
        <v>6</v>
      </c>
      <c r="H48" s="83">
        <v>25</v>
      </c>
      <c r="I48" s="84" t="s">
        <v>13</v>
      </c>
      <c r="J48" s="135">
        <f t="shared" si="2"/>
        <v>0.22500000000000001</v>
      </c>
      <c r="K48" s="134">
        <f t="shared" si="1"/>
        <v>9</v>
      </c>
      <c r="L48" s="40"/>
      <c r="M48" s="40"/>
      <c r="N48" s="40"/>
      <c r="O48" s="40"/>
      <c r="P48" s="40"/>
      <c r="Y48" s="40"/>
      <c r="Z48" s="121" t="s">
        <v>485</v>
      </c>
      <c r="AA48" s="124">
        <v>875.05</v>
      </c>
      <c r="AB48" s="126">
        <v>41</v>
      </c>
      <c r="AC48" s="126">
        <f t="shared" si="3"/>
        <v>1.1863464123499996</v>
      </c>
      <c r="AD48" s="126">
        <f t="shared" si="4"/>
        <v>12.381428094749998</v>
      </c>
      <c r="AE48" s="126">
        <f t="shared" si="5"/>
        <v>0.50227869999999974</v>
      </c>
      <c r="AF48" s="126">
        <f t="shared" si="6"/>
        <v>7.6263232649999999</v>
      </c>
      <c r="AG48" s="126">
        <f t="shared" si="7"/>
        <v>0.26434210439999989</v>
      </c>
      <c r="AH48" s="126">
        <f t="shared" si="8"/>
        <v>5.972373758999999</v>
      </c>
      <c r="AI48" s="126">
        <f t="shared" si="9"/>
        <v>1.3685957009999998</v>
      </c>
      <c r="AJ48" s="126">
        <f t="shared" si="10"/>
        <v>8.6984310247999979</v>
      </c>
      <c r="AK48" s="126">
        <f t="shared" si="11"/>
        <v>1.4168809600000011E-2</v>
      </c>
      <c r="AL48" s="116">
        <f t="shared" si="12"/>
        <v>2.5455974543999997</v>
      </c>
      <c r="AM48" s="40"/>
      <c r="AN48" s="40"/>
      <c r="AO48" s="40"/>
      <c r="AP48" s="40"/>
      <c r="AQ48" s="40"/>
      <c r="AR48" s="40"/>
    </row>
    <row r="49" spans="2:44" ht="13.5" thickBot="1" x14ac:dyDescent="0.25">
      <c r="B49" s="90" t="s">
        <v>318</v>
      </c>
      <c r="C49" s="95" t="s">
        <v>62</v>
      </c>
      <c r="D49" s="91">
        <f>IF(Table1[[#This Row],[2022 Value known?]]="No",6,0)</f>
        <v>6</v>
      </c>
      <c r="E49" s="83">
        <f>25</f>
        <v>25</v>
      </c>
      <c r="F49" s="96" t="s">
        <v>62</v>
      </c>
      <c r="G49" s="85">
        <f>IF(Table1[[#This Row],[2025 Value known?]]="No",6,0)</f>
        <v>6</v>
      </c>
      <c r="H49" s="83">
        <v>25</v>
      </c>
      <c r="I49" s="84" t="s">
        <v>13</v>
      </c>
      <c r="J49" s="135">
        <f t="shared" si="2"/>
        <v>0.22500000000000001</v>
      </c>
      <c r="K49" s="134">
        <f t="shared" si="1"/>
        <v>9</v>
      </c>
      <c r="L49" s="40"/>
      <c r="M49" s="40"/>
      <c r="N49" s="40"/>
      <c r="O49" s="40"/>
      <c r="P49" s="40"/>
      <c r="Y49" s="40"/>
      <c r="Z49" s="40"/>
      <c r="AA49" s="40"/>
      <c r="AB49" s="40"/>
      <c r="AC49" s="40"/>
      <c r="AD49" s="40"/>
      <c r="AE49" s="40"/>
      <c r="AF49" s="40"/>
      <c r="AG49" s="40"/>
      <c r="AH49" s="40"/>
      <c r="AI49" s="40"/>
      <c r="AJ49" s="40"/>
      <c r="AK49" s="40"/>
      <c r="AL49" s="40"/>
      <c r="AM49" s="40"/>
      <c r="AN49" s="40"/>
      <c r="AO49" s="40"/>
      <c r="AP49" s="40"/>
      <c r="AQ49" s="40"/>
      <c r="AR49" s="40"/>
    </row>
    <row r="50" spans="2:44" ht="25.5" x14ac:dyDescent="0.2">
      <c r="B50" s="90" t="s">
        <v>319</v>
      </c>
      <c r="C50" s="95" t="s">
        <v>13</v>
      </c>
      <c r="D50" s="91">
        <v>0.74</v>
      </c>
      <c r="E50" s="83">
        <f>25</f>
        <v>25</v>
      </c>
      <c r="F50" s="96" t="s">
        <v>13</v>
      </c>
      <c r="G50" s="85">
        <f>Table1[[#This Row],[2022 TP Discharge level (mg/l)]]</f>
        <v>0.74</v>
      </c>
      <c r="H50" s="83">
        <v>25</v>
      </c>
      <c r="I50" s="84" t="s">
        <v>13</v>
      </c>
      <c r="J50" s="135">
        <f t="shared" si="2"/>
        <v>0.22500000000000001</v>
      </c>
      <c r="K50" s="134">
        <f t="shared" si="1"/>
        <v>9</v>
      </c>
      <c r="L50" s="40"/>
      <c r="M50" s="40"/>
      <c r="N50" s="40"/>
      <c r="O50" s="40"/>
      <c r="P50" s="40"/>
      <c r="Z50" s="129"/>
      <c r="AA50" s="130" t="s">
        <v>486</v>
      </c>
      <c r="AB50" s="130" t="s">
        <v>488</v>
      </c>
      <c r="AC50" s="131" t="s">
        <v>487</v>
      </c>
      <c r="AD50" s="40"/>
      <c r="AE50" s="40"/>
      <c r="AF50" s="40"/>
      <c r="AG50" s="40"/>
      <c r="AH50" s="40"/>
      <c r="AI50" s="40"/>
      <c r="AJ50" s="40"/>
      <c r="AK50" s="40"/>
      <c r="AL50" s="40"/>
      <c r="AM50" s="40"/>
      <c r="AN50" s="40"/>
      <c r="AO50" s="40"/>
      <c r="AP50" s="40"/>
      <c r="AQ50" s="40"/>
      <c r="AR50" s="40"/>
    </row>
    <row r="51" spans="2:44" x14ac:dyDescent="0.2">
      <c r="B51" s="90" t="s">
        <v>320</v>
      </c>
      <c r="C51" s="95" t="s">
        <v>62</v>
      </c>
      <c r="D51" s="91">
        <f>IF(Table1[[#This Row],[2022 Value known?]]="No",6,0)</f>
        <v>6</v>
      </c>
      <c r="E51" s="83">
        <f>25</f>
        <v>25</v>
      </c>
      <c r="F51" s="96" t="s">
        <v>62</v>
      </c>
      <c r="G51" s="85">
        <f>IF(Table1[[#This Row],[2025 Value known?]]="No",6,0)</f>
        <v>6</v>
      </c>
      <c r="H51" s="83">
        <v>25</v>
      </c>
      <c r="I51" s="84" t="s">
        <v>13</v>
      </c>
      <c r="J51" s="135">
        <f t="shared" si="2"/>
        <v>0.22500000000000001</v>
      </c>
      <c r="K51" s="134">
        <f t="shared" si="1"/>
        <v>9</v>
      </c>
      <c r="L51" s="40"/>
      <c r="M51" s="40"/>
      <c r="N51" s="40"/>
      <c r="O51" s="40"/>
      <c r="P51" s="40"/>
      <c r="Z51" s="120" t="s">
        <v>436</v>
      </c>
      <c r="AA51" s="123" t="s">
        <v>576</v>
      </c>
      <c r="AB51" s="123">
        <f>51+10</f>
        <v>61</v>
      </c>
      <c r="AC51" s="127">
        <v>0.41</v>
      </c>
      <c r="AD51" s="40"/>
      <c r="AE51" s="40"/>
      <c r="AF51" s="40"/>
      <c r="AG51" s="40"/>
      <c r="AH51" s="40"/>
      <c r="AI51" s="40"/>
      <c r="AJ51" s="40"/>
      <c r="AK51" s="40"/>
      <c r="AL51" s="40"/>
      <c r="AM51" s="40"/>
      <c r="AN51" s="40"/>
      <c r="AO51" s="40"/>
      <c r="AP51" s="40"/>
      <c r="AQ51" s="40"/>
      <c r="AR51" s="40"/>
    </row>
    <row r="52" spans="2:44" x14ac:dyDescent="0.2">
      <c r="B52" s="90" t="s">
        <v>321</v>
      </c>
      <c r="C52" s="95" t="s">
        <v>13</v>
      </c>
      <c r="D52" s="91">
        <v>0.62</v>
      </c>
      <c r="E52" s="83">
        <f>25</f>
        <v>25</v>
      </c>
      <c r="F52" s="96" t="s">
        <v>13</v>
      </c>
      <c r="G52" s="85">
        <f>Table1[[#This Row],[2022 TP Discharge level (mg/l)]]</f>
        <v>0.62</v>
      </c>
      <c r="H52" s="83">
        <v>25</v>
      </c>
      <c r="I52" s="84" t="s">
        <v>13</v>
      </c>
      <c r="J52" s="135">
        <f t="shared" si="2"/>
        <v>0.22500000000000001</v>
      </c>
      <c r="K52" s="134">
        <f t="shared" si="1"/>
        <v>9</v>
      </c>
      <c r="L52" s="40"/>
      <c r="M52" s="40"/>
      <c r="N52" s="40"/>
      <c r="O52" s="40"/>
      <c r="P52" s="40"/>
      <c r="Z52" s="120" t="s">
        <v>436</v>
      </c>
      <c r="AA52" s="123" t="s">
        <v>577</v>
      </c>
      <c r="AB52" s="123">
        <f>28+10</f>
        <v>38</v>
      </c>
      <c r="AC52" s="127">
        <v>0.41</v>
      </c>
      <c r="AD52" s="40"/>
      <c r="AE52" s="40"/>
      <c r="AF52" s="40"/>
      <c r="AG52" s="40"/>
      <c r="AH52" s="40"/>
      <c r="AI52" s="40"/>
      <c r="AJ52" s="40"/>
      <c r="AK52" s="40"/>
      <c r="AL52" s="40"/>
      <c r="AM52" s="40"/>
      <c r="AN52" s="40"/>
      <c r="AO52" s="40"/>
      <c r="AP52" s="40"/>
      <c r="AQ52" s="40"/>
      <c r="AR52" s="40"/>
    </row>
    <row r="53" spans="2:44" x14ac:dyDescent="0.2">
      <c r="B53" s="90" t="s">
        <v>322</v>
      </c>
      <c r="C53" s="95" t="s">
        <v>62</v>
      </c>
      <c r="D53" s="91">
        <f>IF(Table1[[#This Row],[2022 Value known?]]="No",6,0)</f>
        <v>6</v>
      </c>
      <c r="E53" s="83">
        <f>25</f>
        <v>25</v>
      </c>
      <c r="F53" s="96" t="s">
        <v>62</v>
      </c>
      <c r="G53" s="85">
        <f>IF(Table1[[#This Row],[2025 Value known?]]="No",6,0)</f>
        <v>6</v>
      </c>
      <c r="H53" s="83">
        <v>25</v>
      </c>
      <c r="I53" s="84" t="s">
        <v>13</v>
      </c>
      <c r="J53" s="135">
        <f t="shared" si="2"/>
        <v>0.22500000000000001</v>
      </c>
      <c r="K53" s="134">
        <f t="shared" si="1"/>
        <v>9</v>
      </c>
      <c r="L53" s="40"/>
      <c r="M53" s="40"/>
      <c r="N53" s="40"/>
      <c r="O53" s="40"/>
      <c r="P53" s="40"/>
      <c r="Z53" s="120" t="s">
        <v>436</v>
      </c>
      <c r="AA53" s="123" t="s">
        <v>578</v>
      </c>
      <c r="AB53" s="123">
        <f>20+10</f>
        <v>30</v>
      </c>
      <c r="AC53" s="127">
        <v>0.41</v>
      </c>
      <c r="AD53" s="40"/>
      <c r="AE53" s="40"/>
      <c r="AF53" s="40"/>
      <c r="AG53" s="40"/>
      <c r="AH53" s="40"/>
      <c r="AI53" s="40"/>
      <c r="AJ53" s="40"/>
      <c r="AK53" s="40"/>
      <c r="AL53" s="40"/>
      <c r="AM53" s="40"/>
      <c r="AN53" s="40"/>
      <c r="AO53" s="40"/>
      <c r="AP53" s="40"/>
      <c r="AQ53" s="40"/>
      <c r="AR53" s="40"/>
    </row>
    <row r="54" spans="2:44" x14ac:dyDescent="0.2">
      <c r="B54" s="90" t="s">
        <v>323</v>
      </c>
      <c r="C54" s="95" t="s">
        <v>13</v>
      </c>
      <c r="D54" s="138">
        <f>2*0.9</f>
        <v>1.8</v>
      </c>
      <c r="E54" s="83">
        <f>25</f>
        <v>25</v>
      </c>
      <c r="F54" s="96" t="s">
        <v>13</v>
      </c>
      <c r="G54" s="141">
        <f>Table1[[#This Row],[2022 TP Discharge level (mg/l)]]</f>
        <v>1.8</v>
      </c>
      <c r="H54" s="83">
        <v>25</v>
      </c>
      <c r="I54" s="84" t="s">
        <v>13</v>
      </c>
      <c r="J54" s="135">
        <f t="shared" si="2"/>
        <v>0.22500000000000001</v>
      </c>
      <c r="K54" s="134">
        <f t="shared" si="1"/>
        <v>9</v>
      </c>
      <c r="L54" s="40"/>
      <c r="M54" s="40"/>
      <c r="N54" s="40"/>
      <c r="O54" s="40"/>
      <c r="P54" s="40"/>
      <c r="Z54" s="120" t="s">
        <v>436</v>
      </c>
      <c r="AA54" s="123" t="s">
        <v>475</v>
      </c>
      <c r="AB54" s="123">
        <f>74+10</f>
        <v>84</v>
      </c>
      <c r="AC54" s="127">
        <v>0.3</v>
      </c>
      <c r="AD54" s="40"/>
      <c r="AE54" s="40"/>
      <c r="AF54" s="40"/>
      <c r="AG54" s="40"/>
      <c r="AH54" s="40"/>
      <c r="AI54" s="40"/>
      <c r="AJ54" s="40"/>
      <c r="AK54" s="40"/>
      <c r="AL54" s="40"/>
      <c r="AM54" s="40"/>
      <c r="AN54" s="40"/>
      <c r="AO54" s="40"/>
      <c r="AP54" s="40"/>
      <c r="AQ54" s="40"/>
      <c r="AR54" s="40"/>
    </row>
    <row r="55" spans="2:44" x14ac:dyDescent="0.2">
      <c r="B55" s="90" t="s">
        <v>324</v>
      </c>
      <c r="C55" s="95" t="s">
        <v>13</v>
      </c>
      <c r="D55" s="91">
        <v>0.83</v>
      </c>
      <c r="E55" s="83">
        <f>25</f>
        <v>25</v>
      </c>
      <c r="F55" s="96" t="s">
        <v>13</v>
      </c>
      <c r="G55" s="85">
        <v>0.83</v>
      </c>
      <c r="H55" s="83">
        <v>25</v>
      </c>
      <c r="I55" s="84" t="s">
        <v>13</v>
      </c>
      <c r="J55" s="135">
        <f t="shared" si="2"/>
        <v>0.22500000000000001</v>
      </c>
      <c r="K55" s="134">
        <f t="shared" si="1"/>
        <v>9</v>
      </c>
      <c r="L55" s="40"/>
      <c r="M55" s="40"/>
      <c r="N55" s="40"/>
      <c r="O55" s="40"/>
      <c r="P55" s="40"/>
      <c r="Z55" s="120" t="s">
        <v>436</v>
      </c>
      <c r="AA55" s="123" t="s">
        <v>448</v>
      </c>
      <c r="AB55" s="123">
        <f>12+10</f>
        <v>22</v>
      </c>
      <c r="AC55" s="127">
        <v>0.22</v>
      </c>
      <c r="AD55" s="40"/>
      <c r="AE55" s="40"/>
      <c r="AF55" s="40"/>
      <c r="AG55" s="40"/>
      <c r="AH55" s="40"/>
      <c r="AI55" s="40"/>
      <c r="AJ55" s="40"/>
      <c r="AK55" s="40"/>
      <c r="AL55" s="40"/>
      <c r="AM55" s="40"/>
      <c r="AN55" s="40"/>
      <c r="AO55" s="40"/>
      <c r="AP55" s="40"/>
      <c r="AQ55" s="40"/>
      <c r="AR55" s="40"/>
    </row>
    <row r="56" spans="2:44" x14ac:dyDescent="0.2">
      <c r="B56" s="90" t="s">
        <v>325</v>
      </c>
      <c r="C56" s="95" t="s">
        <v>62</v>
      </c>
      <c r="D56" s="91">
        <f>IF(Table1[[#This Row],[2022 Value known?]]="No",6,0)</f>
        <v>6</v>
      </c>
      <c r="E56" s="83">
        <f>25</f>
        <v>25</v>
      </c>
      <c r="F56" s="96" t="s">
        <v>62</v>
      </c>
      <c r="G56" s="85">
        <f>IF(Table1[[#This Row],[2025 Value known?]]="No",6,0)</f>
        <v>6</v>
      </c>
      <c r="H56" s="83">
        <v>25</v>
      </c>
      <c r="I56" s="84" t="s">
        <v>13</v>
      </c>
      <c r="J56" s="135">
        <f t="shared" si="2"/>
        <v>0.22500000000000001</v>
      </c>
      <c r="K56" s="134">
        <f t="shared" si="1"/>
        <v>9</v>
      </c>
      <c r="L56" s="40"/>
      <c r="M56" s="40"/>
      <c r="N56" s="40"/>
      <c r="O56" s="40"/>
      <c r="P56" s="40"/>
      <c r="Z56" s="120" t="s">
        <v>437</v>
      </c>
      <c r="AA56" s="123" t="s">
        <v>474</v>
      </c>
      <c r="AB56" s="123">
        <f>AB51+20</f>
        <v>81</v>
      </c>
      <c r="AC56" s="127">
        <v>2.85</v>
      </c>
      <c r="AD56" s="40"/>
      <c r="AE56" s="40"/>
      <c r="AF56" s="40"/>
      <c r="AG56" s="40"/>
      <c r="AH56" s="40"/>
      <c r="AI56" s="40"/>
      <c r="AJ56" s="40"/>
      <c r="AK56" s="40"/>
      <c r="AL56" s="40"/>
      <c r="AM56" s="40"/>
      <c r="AN56" s="40"/>
      <c r="AO56" s="40"/>
      <c r="AP56" s="40"/>
      <c r="AQ56" s="40"/>
      <c r="AR56" s="40"/>
    </row>
    <row r="57" spans="2:44" x14ac:dyDescent="0.2">
      <c r="B57" s="90" t="s">
        <v>326</v>
      </c>
      <c r="C57" s="95" t="s">
        <v>13</v>
      </c>
      <c r="D57" s="91">
        <v>1.34</v>
      </c>
      <c r="E57" s="83">
        <f>25</f>
        <v>25</v>
      </c>
      <c r="F57" s="96" t="s">
        <v>13</v>
      </c>
      <c r="G57" s="85">
        <v>1.34</v>
      </c>
      <c r="H57" s="83">
        <v>25</v>
      </c>
      <c r="I57" s="84" t="s">
        <v>13</v>
      </c>
      <c r="J57" s="135">
        <f t="shared" si="2"/>
        <v>0.22500000000000001</v>
      </c>
      <c r="K57" s="134">
        <f t="shared" si="1"/>
        <v>9</v>
      </c>
      <c r="L57" s="40"/>
      <c r="M57" s="40"/>
      <c r="N57" s="40"/>
      <c r="O57" s="40"/>
      <c r="P57" s="40"/>
      <c r="Z57" s="120" t="s">
        <v>437</v>
      </c>
      <c r="AA57" s="123" t="s">
        <v>577</v>
      </c>
      <c r="AB57" s="123">
        <f t="shared" ref="AB57:AB60" si="14">AB52+20</f>
        <v>58</v>
      </c>
      <c r="AC57" s="127">
        <v>2.85</v>
      </c>
      <c r="AD57" s="40"/>
      <c r="AE57" s="40"/>
      <c r="AF57" s="40"/>
      <c r="AG57" s="40"/>
      <c r="AH57" s="40"/>
      <c r="AI57" s="40"/>
      <c r="AJ57" s="40"/>
      <c r="AK57" s="40"/>
      <c r="AL57" s="40"/>
      <c r="AM57" s="40"/>
      <c r="AN57" s="40"/>
      <c r="AO57" s="40"/>
      <c r="AP57" s="40"/>
      <c r="AQ57" s="40"/>
      <c r="AR57" s="40"/>
    </row>
    <row r="58" spans="2:44" x14ac:dyDescent="0.2">
      <c r="B58" s="90" t="s">
        <v>327</v>
      </c>
      <c r="C58" s="95" t="s">
        <v>62</v>
      </c>
      <c r="D58" s="91">
        <f>IF(Table1[[#This Row],[2022 Value known?]]="No",6,0)</f>
        <v>6</v>
      </c>
      <c r="E58" s="83">
        <f>25</f>
        <v>25</v>
      </c>
      <c r="F58" s="96" t="s">
        <v>62</v>
      </c>
      <c r="G58" s="85">
        <f>IF(Table1[[#This Row],[2025 Value known?]]="No",6,0)</f>
        <v>6</v>
      </c>
      <c r="H58" s="83">
        <v>25</v>
      </c>
      <c r="I58" s="84" t="s">
        <v>13</v>
      </c>
      <c r="J58" s="135">
        <f t="shared" si="2"/>
        <v>0.22500000000000001</v>
      </c>
      <c r="K58" s="134">
        <f t="shared" si="1"/>
        <v>9</v>
      </c>
      <c r="L58" s="40"/>
      <c r="M58" s="40"/>
      <c r="N58" s="40"/>
      <c r="O58" s="40"/>
      <c r="P58" s="40"/>
      <c r="Z58" s="120" t="s">
        <v>437</v>
      </c>
      <c r="AA58" s="123" t="s">
        <v>578</v>
      </c>
      <c r="AB58" s="123">
        <f t="shared" si="14"/>
        <v>50</v>
      </c>
      <c r="AC58" s="127">
        <v>2.85</v>
      </c>
      <c r="AD58" s="40"/>
      <c r="AE58" s="40"/>
      <c r="AF58" s="40"/>
      <c r="AG58" s="40"/>
      <c r="AH58" s="40"/>
      <c r="AI58" s="40"/>
      <c r="AJ58" s="40"/>
      <c r="AK58" s="40"/>
      <c r="AL58" s="40"/>
      <c r="AM58" s="40"/>
      <c r="AN58" s="40"/>
      <c r="AO58" s="40"/>
      <c r="AP58" s="40"/>
      <c r="AQ58" s="40"/>
      <c r="AR58" s="40"/>
    </row>
    <row r="59" spans="2:44" x14ac:dyDescent="0.2">
      <c r="B59" s="90" t="s">
        <v>328</v>
      </c>
      <c r="C59" s="95" t="s">
        <v>62</v>
      </c>
      <c r="D59" s="91">
        <f>IF(Table1[[#This Row],[2022 Value known?]]="No",6,0)</f>
        <v>6</v>
      </c>
      <c r="E59" s="83">
        <f>25</f>
        <v>25</v>
      </c>
      <c r="F59" s="96" t="s">
        <v>62</v>
      </c>
      <c r="G59" s="85">
        <f>IF(Table1[[#This Row],[2025 Value known?]]="No",6,0)</f>
        <v>6</v>
      </c>
      <c r="H59" s="83">
        <v>25</v>
      </c>
      <c r="I59" s="84" t="s">
        <v>13</v>
      </c>
      <c r="J59" s="135">
        <f t="shared" si="2"/>
        <v>0.22500000000000001</v>
      </c>
      <c r="K59" s="134">
        <f t="shared" si="1"/>
        <v>9</v>
      </c>
      <c r="L59" s="40"/>
      <c r="M59" s="40"/>
      <c r="N59" s="40"/>
      <c r="O59" s="40"/>
      <c r="P59" s="40"/>
      <c r="Z59" s="120" t="s">
        <v>437</v>
      </c>
      <c r="AA59" s="123" t="s">
        <v>475</v>
      </c>
      <c r="AB59" s="123">
        <f>100</f>
        <v>100</v>
      </c>
      <c r="AC59" s="127">
        <v>1.52</v>
      </c>
      <c r="AD59" s="40"/>
      <c r="AE59" s="40"/>
      <c r="AF59" s="40"/>
      <c r="AG59" s="40"/>
      <c r="AH59" s="40"/>
      <c r="AI59" s="40"/>
      <c r="AJ59" s="40"/>
      <c r="AK59" s="40"/>
      <c r="AL59" s="40"/>
      <c r="AM59" s="40"/>
      <c r="AN59" s="40"/>
      <c r="AO59" s="40"/>
      <c r="AP59" s="40"/>
      <c r="AQ59" s="40"/>
      <c r="AR59" s="40"/>
    </row>
    <row r="60" spans="2:44" ht="13.5" thickBot="1" x14ac:dyDescent="0.25">
      <c r="B60" s="90" t="s">
        <v>329</v>
      </c>
      <c r="C60" s="95" t="s">
        <v>13</v>
      </c>
      <c r="D60" s="91">
        <v>0.65</v>
      </c>
      <c r="E60" s="83">
        <f>25</f>
        <v>25</v>
      </c>
      <c r="F60" s="96" t="s">
        <v>13</v>
      </c>
      <c r="G60" s="85">
        <v>0.65</v>
      </c>
      <c r="H60" s="83">
        <v>25</v>
      </c>
      <c r="I60" s="84" t="s">
        <v>13</v>
      </c>
      <c r="J60" s="135">
        <f t="shared" si="2"/>
        <v>0.22500000000000001</v>
      </c>
      <c r="K60" s="134">
        <f t="shared" si="1"/>
        <v>9</v>
      </c>
      <c r="L60" s="40"/>
      <c r="M60" s="40"/>
      <c r="N60" s="40"/>
      <c r="O60" s="40"/>
      <c r="P60" s="40"/>
      <c r="Q60" s="40"/>
      <c r="R60" s="40"/>
      <c r="S60" s="40"/>
      <c r="T60" s="40"/>
      <c r="U60" s="40"/>
      <c r="V60" s="40"/>
      <c r="W60" s="40"/>
      <c r="X60" s="40"/>
      <c r="Z60" s="121" t="s">
        <v>437</v>
      </c>
      <c r="AA60" s="124" t="s">
        <v>448</v>
      </c>
      <c r="AB60" s="124">
        <f t="shared" si="14"/>
        <v>42</v>
      </c>
      <c r="AC60" s="128">
        <v>1.68</v>
      </c>
      <c r="AD60" s="40"/>
      <c r="AE60" s="40"/>
      <c r="AF60" s="40"/>
      <c r="AG60" s="40"/>
      <c r="AH60" s="40"/>
      <c r="AI60" s="40"/>
      <c r="AJ60" s="40"/>
      <c r="AK60" s="40"/>
      <c r="AL60" s="40"/>
      <c r="AM60" s="40"/>
      <c r="AN60" s="40"/>
      <c r="AO60" s="40"/>
      <c r="AP60" s="40"/>
      <c r="AQ60" s="40"/>
      <c r="AR60" s="40"/>
    </row>
    <row r="61" spans="2:44" x14ac:dyDescent="0.2">
      <c r="B61" s="90" t="s">
        <v>330</v>
      </c>
      <c r="C61" s="95" t="s">
        <v>62</v>
      </c>
      <c r="D61" s="91">
        <f>IF(Table1[[#This Row],[2022 Value known?]]="No",6,0)</f>
        <v>6</v>
      </c>
      <c r="E61" s="83">
        <f>25</f>
        <v>25</v>
      </c>
      <c r="F61" s="96" t="s">
        <v>62</v>
      </c>
      <c r="G61" s="85">
        <f>IF(Table1[[#This Row],[2025 Value known?]]="No",6,0)</f>
        <v>6</v>
      </c>
      <c r="H61" s="83">
        <v>25</v>
      </c>
      <c r="I61" s="84" t="s">
        <v>13</v>
      </c>
      <c r="J61" s="135">
        <f t="shared" si="2"/>
        <v>0.22500000000000001</v>
      </c>
      <c r="K61" s="134">
        <f t="shared" si="1"/>
        <v>9</v>
      </c>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row>
    <row r="62" spans="2:44" x14ac:dyDescent="0.2">
      <c r="B62" s="90" t="s">
        <v>331</v>
      </c>
      <c r="C62" s="95" t="s">
        <v>62</v>
      </c>
      <c r="D62" s="91">
        <f>IF(Table1[[#This Row],[2022 Value known?]]="No",6,0)</f>
        <v>6</v>
      </c>
      <c r="E62" s="83">
        <f>25</f>
        <v>25</v>
      </c>
      <c r="F62" s="96" t="s">
        <v>62</v>
      </c>
      <c r="G62" s="85">
        <f>IF(Table1[[#This Row],[2025 Value known?]]="No",6,0)</f>
        <v>6</v>
      </c>
      <c r="H62" s="83">
        <v>25</v>
      </c>
      <c r="I62" s="84" t="s">
        <v>13</v>
      </c>
      <c r="J62" s="135">
        <f t="shared" si="2"/>
        <v>0.22500000000000001</v>
      </c>
      <c r="K62" s="134">
        <f t="shared" si="1"/>
        <v>9</v>
      </c>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row>
    <row r="63" spans="2:44" x14ac:dyDescent="0.2">
      <c r="B63" s="90" t="s">
        <v>332</v>
      </c>
      <c r="C63" s="95" t="s">
        <v>62</v>
      </c>
      <c r="D63" s="91">
        <f>IF(Table1[[#This Row],[2022 Value known?]]="No",6,0)</f>
        <v>6</v>
      </c>
      <c r="E63" s="83">
        <f>25</f>
        <v>25</v>
      </c>
      <c r="F63" s="96" t="s">
        <v>62</v>
      </c>
      <c r="G63" s="85">
        <f>IF(Table1[[#This Row],[2025 Value known?]]="No",6,0)</f>
        <v>6</v>
      </c>
      <c r="H63" s="83">
        <v>25</v>
      </c>
      <c r="I63" s="84" t="s">
        <v>13</v>
      </c>
      <c r="J63" s="135">
        <f t="shared" si="2"/>
        <v>0.22500000000000001</v>
      </c>
      <c r="K63" s="134">
        <f t="shared" si="1"/>
        <v>9</v>
      </c>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row>
    <row r="64" spans="2:44" x14ac:dyDescent="0.2">
      <c r="B64" s="90" t="s">
        <v>333</v>
      </c>
      <c r="C64" s="95" t="s">
        <v>62</v>
      </c>
      <c r="D64" s="91">
        <f>IF(Table1[[#This Row],[2022 Value known?]]="No",6,0)</f>
        <v>6</v>
      </c>
      <c r="E64" s="83">
        <f>25</f>
        <v>25</v>
      </c>
      <c r="F64" s="96" t="s">
        <v>62</v>
      </c>
      <c r="G64" s="85">
        <f>IF(Table1[[#This Row],[2025 Value known?]]="No",6,0)</f>
        <v>6</v>
      </c>
      <c r="H64" s="83">
        <v>25</v>
      </c>
      <c r="I64" s="84" t="s">
        <v>13</v>
      </c>
      <c r="J64" s="135">
        <f t="shared" si="2"/>
        <v>0.22500000000000001</v>
      </c>
      <c r="K64" s="134">
        <f t="shared" si="1"/>
        <v>9</v>
      </c>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row>
    <row r="65" spans="2:44" x14ac:dyDescent="0.2">
      <c r="B65" s="90" t="s">
        <v>334</v>
      </c>
      <c r="C65" s="95" t="s">
        <v>62</v>
      </c>
      <c r="D65" s="91">
        <f>IF(Table1[[#This Row],[2022 Value known?]]="No",6,0)</f>
        <v>6</v>
      </c>
      <c r="E65" s="83">
        <f>25</f>
        <v>25</v>
      </c>
      <c r="F65" s="96" t="s">
        <v>62</v>
      </c>
      <c r="G65" s="85">
        <f>IF(Table1[[#This Row],[2025 Value known?]]="No",6,0)</f>
        <v>6</v>
      </c>
      <c r="H65" s="83">
        <v>25</v>
      </c>
      <c r="I65" s="84" t="s">
        <v>13</v>
      </c>
      <c r="J65" s="135">
        <f t="shared" ref="J65:J86" si="15">0.25*0.9</f>
        <v>0.22500000000000001</v>
      </c>
      <c r="K65" s="134">
        <f t="shared" si="1"/>
        <v>9</v>
      </c>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row>
    <row r="66" spans="2:44" x14ac:dyDescent="0.2">
      <c r="B66" s="90" t="s">
        <v>335</v>
      </c>
      <c r="C66" s="95" t="s">
        <v>62</v>
      </c>
      <c r="D66" s="91">
        <f>IF(Table1[[#This Row],[2022 Value known?]]="No",6,0)</f>
        <v>6</v>
      </c>
      <c r="E66" s="83">
        <f>25</f>
        <v>25</v>
      </c>
      <c r="F66" s="96" t="s">
        <v>62</v>
      </c>
      <c r="G66" s="85">
        <f>IF(Table1[[#This Row],[2025 Value known?]]="No",6,0)</f>
        <v>6</v>
      </c>
      <c r="H66" s="83">
        <v>25</v>
      </c>
      <c r="I66" s="84" t="s">
        <v>13</v>
      </c>
      <c r="J66" s="135">
        <f t="shared" si="15"/>
        <v>0.22500000000000001</v>
      </c>
      <c r="K66" s="134">
        <f t="shared" ref="K66:K86" si="16">10*0.9</f>
        <v>9</v>
      </c>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row>
    <row r="67" spans="2:44" x14ac:dyDescent="0.2">
      <c r="B67" s="90" t="s">
        <v>336</v>
      </c>
      <c r="C67" s="95" t="s">
        <v>13</v>
      </c>
      <c r="D67" s="104">
        <f>3*0.76</f>
        <v>2.2800000000000002</v>
      </c>
      <c r="E67" s="83">
        <f>25</f>
        <v>25</v>
      </c>
      <c r="F67" s="96" t="s">
        <v>13</v>
      </c>
      <c r="G67" s="140">
        <f>0.5*0.9</f>
        <v>0.45</v>
      </c>
      <c r="H67" s="83">
        <v>25</v>
      </c>
      <c r="I67" s="84" t="s">
        <v>13</v>
      </c>
      <c r="J67" s="135">
        <f t="shared" si="15"/>
        <v>0.22500000000000001</v>
      </c>
      <c r="K67" s="134">
        <f t="shared" si="16"/>
        <v>9</v>
      </c>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row>
    <row r="68" spans="2:44" x14ac:dyDescent="0.2">
      <c r="B68" s="90" t="s">
        <v>337</v>
      </c>
      <c r="C68" s="95" t="s">
        <v>62</v>
      </c>
      <c r="D68" s="91">
        <f>IF(Table1[[#This Row],[2022 Value known?]]="No",6,0)</f>
        <v>6</v>
      </c>
      <c r="E68" s="83">
        <f>25</f>
        <v>25</v>
      </c>
      <c r="F68" s="96" t="s">
        <v>62</v>
      </c>
      <c r="G68" s="85">
        <f>IF(Table1[[#This Row],[2025 Value known?]]="No",6,0)</f>
        <v>6</v>
      </c>
      <c r="H68" s="83">
        <v>25</v>
      </c>
      <c r="I68" s="84" t="s">
        <v>13</v>
      </c>
      <c r="J68" s="135">
        <f t="shared" si="15"/>
        <v>0.22500000000000001</v>
      </c>
      <c r="K68" s="134">
        <f t="shared" si="16"/>
        <v>9</v>
      </c>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row>
    <row r="69" spans="2:44" x14ac:dyDescent="0.2">
      <c r="B69" s="90" t="s">
        <v>338</v>
      </c>
      <c r="C69" s="95" t="s">
        <v>62</v>
      </c>
      <c r="D69" s="91">
        <f>IF(Table1[[#This Row],[2022 Value known?]]="No",6,0)</f>
        <v>6</v>
      </c>
      <c r="E69" s="83">
        <f>25</f>
        <v>25</v>
      </c>
      <c r="F69" s="96" t="s">
        <v>62</v>
      </c>
      <c r="G69" s="85">
        <f>IF(Table1[[#This Row],[2025 Value known?]]="No",6,0)</f>
        <v>6</v>
      </c>
      <c r="H69" s="83">
        <v>25</v>
      </c>
      <c r="I69" s="84" t="s">
        <v>13</v>
      </c>
      <c r="J69" s="135">
        <f t="shared" si="15"/>
        <v>0.22500000000000001</v>
      </c>
      <c r="K69" s="134">
        <f t="shared" si="16"/>
        <v>9</v>
      </c>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row>
    <row r="70" spans="2:44" x14ac:dyDescent="0.2">
      <c r="B70" s="90" t="s">
        <v>339</v>
      </c>
      <c r="C70" s="95" t="s">
        <v>13</v>
      </c>
      <c r="D70" s="91">
        <v>0.86</v>
      </c>
      <c r="E70" s="83">
        <f>25</f>
        <v>25</v>
      </c>
      <c r="F70" s="96" t="s">
        <v>13</v>
      </c>
      <c r="G70" s="85">
        <v>0.86</v>
      </c>
      <c r="H70" s="83">
        <v>25</v>
      </c>
      <c r="I70" s="84" t="s">
        <v>13</v>
      </c>
      <c r="J70" s="135">
        <f t="shared" si="15"/>
        <v>0.22500000000000001</v>
      </c>
      <c r="K70" s="134">
        <f t="shared" si="16"/>
        <v>9</v>
      </c>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row>
    <row r="71" spans="2:44" x14ac:dyDescent="0.2">
      <c r="B71" s="90" t="s">
        <v>340</v>
      </c>
      <c r="C71" s="95" t="s">
        <v>62</v>
      </c>
      <c r="D71" s="91">
        <f>IF(Table1[[#This Row],[2022 Value known?]]="No",6,0)</f>
        <v>6</v>
      </c>
      <c r="E71" s="83">
        <f>25</f>
        <v>25</v>
      </c>
      <c r="F71" s="96" t="s">
        <v>62</v>
      </c>
      <c r="G71" s="85">
        <f>IF(Table1[[#This Row],[2025 Value known?]]="No",6,0)</f>
        <v>6</v>
      </c>
      <c r="H71" s="83">
        <v>25</v>
      </c>
      <c r="I71" s="84" t="s">
        <v>13</v>
      </c>
      <c r="J71" s="135">
        <f t="shared" si="15"/>
        <v>0.22500000000000001</v>
      </c>
      <c r="K71" s="134">
        <f t="shared" si="16"/>
        <v>9</v>
      </c>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row>
    <row r="72" spans="2:44" x14ac:dyDescent="0.2">
      <c r="B72" s="90" t="s">
        <v>341</v>
      </c>
      <c r="C72" s="95" t="s">
        <v>62</v>
      </c>
      <c r="D72" s="91">
        <f>IF(Table1[[#This Row],[2022 Value known?]]="No",6,0)</f>
        <v>6</v>
      </c>
      <c r="E72" s="83">
        <f>25</f>
        <v>25</v>
      </c>
      <c r="F72" s="96" t="s">
        <v>62</v>
      </c>
      <c r="G72" s="85">
        <f>IF(Table1[[#This Row],[2025 Value known?]]="No",6,0)</f>
        <v>6</v>
      </c>
      <c r="H72" s="83">
        <v>25</v>
      </c>
      <c r="I72" s="84" t="s">
        <v>13</v>
      </c>
      <c r="J72" s="135">
        <f t="shared" si="15"/>
        <v>0.22500000000000001</v>
      </c>
      <c r="K72" s="134">
        <f t="shared" si="16"/>
        <v>9</v>
      </c>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row>
    <row r="73" spans="2:44" x14ac:dyDescent="0.2">
      <c r="B73" s="90" t="s">
        <v>342</v>
      </c>
      <c r="C73" s="95" t="s">
        <v>62</v>
      </c>
      <c r="D73" s="91">
        <f>IF(Table1[[#This Row],[2022 Value known?]]="No",6,0)</f>
        <v>6</v>
      </c>
      <c r="E73" s="83">
        <f>25</f>
        <v>25</v>
      </c>
      <c r="F73" s="96" t="s">
        <v>62</v>
      </c>
      <c r="G73" s="85">
        <f>IF(Table1[[#This Row],[2025 Value known?]]="No",6,0)</f>
        <v>6</v>
      </c>
      <c r="H73" s="83">
        <v>25</v>
      </c>
      <c r="I73" s="84" t="s">
        <v>13</v>
      </c>
      <c r="J73" s="135">
        <f t="shared" si="15"/>
        <v>0.22500000000000001</v>
      </c>
      <c r="K73" s="134">
        <f t="shared" si="16"/>
        <v>9</v>
      </c>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row>
    <row r="74" spans="2:44" x14ac:dyDescent="0.2">
      <c r="B74" s="90" t="s">
        <v>343</v>
      </c>
      <c r="C74" s="95" t="s">
        <v>62</v>
      </c>
      <c r="D74" s="91">
        <f>IF(Table1[[#This Row],[2022 Value known?]]="No",6,0)</f>
        <v>6</v>
      </c>
      <c r="E74" s="83">
        <f>25</f>
        <v>25</v>
      </c>
      <c r="F74" s="96" t="s">
        <v>62</v>
      </c>
      <c r="G74" s="85">
        <f>IF(Table1[[#This Row],[2025 Value known?]]="No",6,0)</f>
        <v>6</v>
      </c>
      <c r="H74" s="83">
        <v>25</v>
      </c>
      <c r="I74" s="84" t="s">
        <v>13</v>
      </c>
      <c r="J74" s="135">
        <f t="shared" si="15"/>
        <v>0.22500000000000001</v>
      </c>
      <c r="K74" s="134">
        <f t="shared" si="16"/>
        <v>9</v>
      </c>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row>
    <row r="75" spans="2:44" x14ac:dyDescent="0.2">
      <c r="B75" s="90" t="s">
        <v>344</v>
      </c>
      <c r="C75" s="95" t="s">
        <v>13</v>
      </c>
      <c r="D75" s="104">
        <f>2*0.76</f>
        <v>1.52</v>
      </c>
      <c r="E75" s="83">
        <f>25</f>
        <v>25</v>
      </c>
      <c r="F75" s="96" t="s">
        <v>13</v>
      </c>
      <c r="G75" s="105">
        <f>2*0.76</f>
        <v>1.52</v>
      </c>
      <c r="H75" s="83">
        <v>25</v>
      </c>
      <c r="I75" s="84" t="s">
        <v>13</v>
      </c>
      <c r="J75" s="135">
        <f t="shared" si="15"/>
        <v>0.22500000000000001</v>
      </c>
      <c r="K75" s="134">
        <f t="shared" si="16"/>
        <v>9</v>
      </c>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row>
    <row r="76" spans="2:44" x14ac:dyDescent="0.2">
      <c r="B76" s="90" t="s">
        <v>345</v>
      </c>
      <c r="C76" s="95" t="s">
        <v>62</v>
      </c>
      <c r="D76" s="91">
        <f>IF(Table1[[#This Row],[2022 Value known?]]="No",6,0)</f>
        <v>6</v>
      </c>
      <c r="E76" s="83">
        <f>25</f>
        <v>25</v>
      </c>
      <c r="F76" s="96" t="s">
        <v>62</v>
      </c>
      <c r="G76" s="85">
        <f>IF(Table1[[#This Row],[2025 Value known?]]="No",6,0)</f>
        <v>6</v>
      </c>
      <c r="H76" s="83">
        <v>25</v>
      </c>
      <c r="I76" s="84" t="s">
        <v>13</v>
      </c>
      <c r="J76" s="135">
        <f t="shared" si="15"/>
        <v>0.22500000000000001</v>
      </c>
      <c r="K76" s="134">
        <f t="shared" si="16"/>
        <v>9</v>
      </c>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row>
    <row r="77" spans="2:44" x14ac:dyDescent="0.2">
      <c r="B77" s="90" t="s">
        <v>346</v>
      </c>
      <c r="C77" s="95" t="s">
        <v>62</v>
      </c>
      <c r="D77" s="91">
        <f>IF(Table1[[#This Row],[2022 Value known?]]="No",6,0)</f>
        <v>6</v>
      </c>
      <c r="E77" s="83">
        <f>25</f>
        <v>25</v>
      </c>
      <c r="F77" s="96" t="s">
        <v>13</v>
      </c>
      <c r="G77" s="140">
        <f>0.4*0.9</f>
        <v>0.36000000000000004</v>
      </c>
      <c r="H77" s="83">
        <v>25</v>
      </c>
      <c r="I77" s="84" t="s">
        <v>13</v>
      </c>
      <c r="J77" s="135">
        <f t="shared" si="15"/>
        <v>0.22500000000000001</v>
      </c>
      <c r="K77" s="134">
        <f t="shared" si="16"/>
        <v>9</v>
      </c>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row>
    <row r="78" spans="2:44" x14ac:dyDescent="0.2">
      <c r="B78" s="90" t="s">
        <v>347</v>
      </c>
      <c r="C78" s="95" t="s">
        <v>62</v>
      </c>
      <c r="D78" s="91">
        <f>IF(Table1[[#This Row],[2022 Value known?]]="No",6,0)</f>
        <v>6</v>
      </c>
      <c r="E78" s="83">
        <f>25</f>
        <v>25</v>
      </c>
      <c r="F78" s="96" t="s">
        <v>62</v>
      </c>
      <c r="G78" s="85">
        <f>IF(Table1[[#This Row],[2025 Value known?]]="No",6,0)</f>
        <v>6</v>
      </c>
      <c r="H78" s="83">
        <v>25</v>
      </c>
      <c r="I78" s="84" t="s">
        <v>13</v>
      </c>
      <c r="J78" s="135">
        <f t="shared" si="15"/>
        <v>0.22500000000000001</v>
      </c>
      <c r="K78" s="134">
        <f t="shared" si="16"/>
        <v>9</v>
      </c>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row>
    <row r="79" spans="2:44" x14ac:dyDescent="0.2">
      <c r="B79" s="90" t="s">
        <v>470</v>
      </c>
      <c r="C79" s="95" t="s">
        <v>62</v>
      </c>
      <c r="D79" s="91">
        <f>IF(Table1[[#This Row],[2022 Value known?]]="No",6,0)</f>
        <v>6</v>
      </c>
      <c r="E79" s="83">
        <f>25</f>
        <v>25</v>
      </c>
      <c r="F79" s="96" t="s">
        <v>62</v>
      </c>
      <c r="G79" s="85">
        <f>IF(Table1[[#This Row],[2025 Value known?]]="No",6,0)</f>
        <v>6</v>
      </c>
      <c r="H79" s="83">
        <v>25</v>
      </c>
      <c r="I79" s="84" t="s">
        <v>13</v>
      </c>
      <c r="J79" s="135">
        <f t="shared" si="15"/>
        <v>0.22500000000000001</v>
      </c>
      <c r="K79" s="134">
        <f t="shared" si="16"/>
        <v>9</v>
      </c>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row>
    <row r="80" spans="2:44" x14ac:dyDescent="0.2">
      <c r="B80" s="90" t="s">
        <v>348</v>
      </c>
      <c r="C80" s="95" t="s">
        <v>62</v>
      </c>
      <c r="D80" s="91">
        <f>IF(Table1[[#This Row],[2022 Value known?]]="No",6,0)</f>
        <v>6</v>
      </c>
      <c r="E80" s="83">
        <f>25</f>
        <v>25</v>
      </c>
      <c r="F80" s="96" t="s">
        <v>62</v>
      </c>
      <c r="G80" s="85">
        <f>IF(Table1[[#This Row],[2025 Value known?]]="No",6,0)</f>
        <v>6</v>
      </c>
      <c r="H80" s="83">
        <v>25</v>
      </c>
      <c r="I80" s="84" t="s">
        <v>13</v>
      </c>
      <c r="J80" s="135">
        <f t="shared" si="15"/>
        <v>0.22500000000000001</v>
      </c>
      <c r="K80" s="134">
        <f t="shared" si="16"/>
        <v>9</v>
      </c>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row>
    <row r="81" spans="2:44" x14ac:dyDescent="0.2">
      <c r="B81" s="90" t="s">
        <v>349</v>
      </c>
      <c r="C81" s="95" t="s">
        <v>62</v>
      </c>
      <c r="D81" s="91">
        <f>IF(Table1[[#This Row],[2022 Value known?]]="No",6,0)</f>
        <v>6</v>
      </c>
      <c r="E81" s="83">
        <f>25</f>
        <v>25</v>
      </c>
      <c r="F81" s="96" t="s">
        <v>62</v>
      </c>
      <c r="G81" s="85">
        <f>IF(Table1[[#This Row],[2025 Value known?]]="No",6,0)</f>
        <v>6</v>
      </c>
      <c r="H81" s="83">
        <v>25</v>
      </c>
      <c r="I81" s="84" t="s">
        <v>13</v>
      </c>
      <c r="J81" s="135">
        <f t="shared" si="15"/>
        <v>0.22500000000000001</v>
      </c>
      <c r="K81" s="134">
        <f t="shared" si="16"/>
        <v>9</v>
      </c>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row>
    <row r="82" spans="2:44" x14ac:dyDescent="0.2">
      <c r="B82" s="90" t="s">
        <v>350</v>
      </c>
      <c r="C82" s="95" t="s">
        <v>62</v>
      </c>
      <c r="D82" s="91">
        <f>IF(Table1[[#This Row],[2022 Value known?]]="No",6,0)</f>
        <v>6</v>
      </c>
      <c r="E82" s="83">
        <f>25</f>
        <v>25</v>
      </c>
      <c r="F82" s="96" t="s">
        <v>62</v>
      </c>
      <c r="G82" s="85">
        <f>IF(Table1[[#This Row],[2025 Value known?]]="No",6,0)</f>
        <v>6</v>
      </c>
      <c r="H82" s="83">
        <v>25</v>
      </c>
      <c r="I82" s="84" t="s">
        <v>13</v>
      </c>
      <c r="J82" s="135">
        <f t="shared" si="15"/>
        <v>0.22500000000000001</v>
      </c>
      <c r="K82" s="134">
        <f t="shared" si="16"/>
        <v>9</v>
      </c>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row>
    <row r="83" spans="2:44" x14ac:dyDescent="0.2">
      <c r="B83" s="90" t="s">
        <v>351</v>
      </c>
      <c r="C83" s="95" t="s">
        <v>62</v>
      </c>
      <c r="D83" s="91">
        <f>IF(Table1[[#This Row],[2022 Value known?]]="No",6,0)</f>
        <v>6</v>
      </c>
      <c r="E83" s="83">
        <f>25</f>
        <v>25</v>
      </c>
      <c r="F83" s="96" t="s">
        <v>62</v>
      </c>
      <c r="G83" s="85">
        <f>IF(Table1[[#This Row],[2025 Value known?]]="No",6,0)</f>
        <v>6</v>
      </c>
      <c r="H83" s="83">
        <v>25</v>
      </c>
      <c r="I83" s="84" t="s">
        <v>13</v>
      </c>
      <c r="J83" s="135">
        <f t="shared" si="15"/>
        <v>0.22500000000000001</v>
      </c>
      <c r="K83" s="134">
        <f t="shared" si="16"/>
        <v>9</v>
      </c>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row>
    <row r="84" spans="2:44" x14ac:dyDescent="0.2">
      <c r="B84" s="90" t="s">
        <v>352</v>
      </c>
      <c r="C84" s="95" t="s">
        <v>62</v>
      </c>
      <c r="D84" s="91">
        <f>IF(Table1[[#This Row],[2022 Value known?]]="No",6,0)</f>
        <v>6</v>
      </c>
      <c r="E84" s="83">
        <f>25</f>
        <v>25</v>
      </c>
      <c r="F84" s="96" t="s">
        <v>62</v>
      </c>
      <c r="G84" s="85">
        <f>IF(Table1[[#This Row],[2025 Value known?]]="No",6,0)</f>
        <v>6</v>
      </c>
      <c r="H84" s="83">
        <v>25</v>
      </c>
      <c r="I84" s="84" t="s">
        <v>13</v>
      </c>
      <c r="J84" s="135">
        <f t="shared" si="15"/>
        <v>0.22500000000000001</v>
      </c>
      <c r="K84" s="134">
        <f t="shared" si="16"/>
        <v>9</v>
      </c>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row>
    <row r="85" spans="2:44" x14ac:dyDescent="0.2">
      <c r="B85" s="90" t="s">
        <v>353</v>
      </c>
      <c r="C85" s="95" t="s">
        <v>13</v>
      </c>
      <c r="D85" s="138">
        <f>1*0.9</f>
        <v>0.9</v>
      </c>
      <c r="E85" s="83">
        <f>25</f>
        <v>25</v>
      </c>
      <c r="F85" s="96" t="s">
        <v>13</v>
      </c>
      <c r="G85" s="140">
        <f>1*0.9</f>
        <v>0.9</v>
      </c>
      <c r="H85" s="83">
        <v>25</v>
      </c>
      <c r="I85" s="84" t="s">
        <v>13</v>
      </c>
      <c r="J85" s="135">
        <f t="shared" si="15"/>
        <v>0.22500000000000001</v>
      </c>
      <c r="K85" s="134">
        <f t="shared" si="16"/>
        <v>9</v>
      </c>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row>
    <row r="86" spans="2:44" x14ac:dyDescent="0.2">
      <c r="B86" s="149" t="s">
        <v>354</v>
      </c>
      <c r="C86" s="150" t="s">
        <v>13</v>
      </c>
      <c r="D86" s="92">
        <v>0.61</v>
      </c>
      <c r="E86" s="147">
        <f>25</f>
        <v>25</v>
      </c>
      <c r="F86" s="106" t="s">
        <v>13</v>
      </c>
      <c r="G86" s="107">
        <v>0.61</v>
      </c>
      <c r="H86" s="147">
        <v>25</v>
      </c>
      <c r="I86" s="148" t="s">
        <v>13</v>
      </c>
      <c r="J86" s="136">
        <f t="shared" si="15"/>
        <v>0.22500000000000001</v>
      </c>
      <c r="K86" s="151">
        <f t="shared" si="16"/>
        <v>9</v>
      </c>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row>
    <row r="87" spans="2:44" x14ac:dyDescent="0.2">
      <c r="B87" s="137"/>
      <c r="C87" s="40"/>
      <c r="D87" s="340"/>
      <c r="E87" s="341"/>
      <c r="F87" s="109"/>
      <c r="G87" s="342"/>
      <c r="H87" s="341"/>
      <c r="I87" s="343"/>
      <c r="J87" s="342"/>
      <c r="K87" s="342"/>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row>
    <row r="88" spans="2:44" x14ac:dyDescent="0.2">
      <c r="B88" s="137"/>
      <c r="C88" s="344"/>
      <c r="D88" s="340" t="s">
        <v>612</v>
      </c>
      <c r="E88" s="341"/>
      <c r="F88" s="109"/>
      <c r="G88" s="342"/>
      <c r="H88" s="341"/>
      <c r="I88" s="343"/>
      <c r="J88" s="342"/>
      <c r="K88" s="342"/>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row>
    <row r="89" spans="2:44" ht="25.5" x14ac:dyDescent="0.2">
      <c r="B89" s="137"/>
      <c r="C89" s="345"/>
      <c r="D89" s="346" t="s">
        <v>613</v>
      </c>
      <c r="E89" s="108"/>
      <c r="F89" s="109"/>
      <c r="G89" s="109"/>
      <c r="H89" s="109"/>
      <c r="I89" s="11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row>
    <row r="90" spans="2:44" x14ac:dyDescent="0.2">
      <c r="B90" s="137"/>
      <c r="C90" s="40"/>
      <c r="D90" s="108"/>
      <c r="E90" s="108"/>
      <c r="F90" s="109"/>
      <c r="G90" s="109"/>
      <c r="H90" s="109"/>
      <c r="I90" s="11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row>
    <row r="91" spans="2:44" x14ac:dyDescent="0.2">
      <c r="B91" s="40"/>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row>
    <row r="92" spans="2:44" x14ac:dyDescent="0.2">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row>
    <row r="93" spans="2:44" x14ac:dyDescent="0.2">
      <c r="B93" s="40"/>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row>
    <row r="94" spans="2:44" x14ac:dyDescent="0.2">
      <c r="B94" s="40"/>
      <c r="C94" s="40"/>
      <c r="D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row>
    <row r="95" spans="2:44" x14ac:dyDescent="0.2">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row>
    <row r="96" spans="2:44" x14ac:dyDescent="0.2">
      <c r="B96" s="40"/>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row>
    <row r="97" spans="2:42" x14ac:dyDescent="0.2">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row>
    <row r="98" spans="2:42" x14ac:dyDescent="0.2">
      <c r="B98" s="40"/>
      <c r="C98" s="40"/>
      <c r="D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row>
    <row r="99" spans="2:42" x14ac:dyDescent="0.2">
      <c r="B99" s="40"/>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row>
    <row r="100" spans="2:42" x14ac:dyDescent="0.2">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row>
    <row r="101" spans="2:42" x14ac:dyDescent="0.2">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row>
    <row r="102" spans="2:42" x14ac:dyDescent="0.2">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row>
    <row r="103" spans="2:42" x14ac:dyDescent="0.2">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row>
    <row r="104" spans="2:42" x14ac:dyDescent="0.2">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row>
    <row r="105" spans="2:42" x14ac:dyDescent="0.2">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row>
    <row r="106" spans="2:42" x14ac:dyDescent="0.2">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row>
    <row r="107" spans="2:42" x14ac:dyDescent="0.2">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row>
    <row r="108" spans="2:42" x14ac:dyDescent="0.2">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row>
    <row r="109" spans="2:42" x14ac:dyDescent="0.2">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row>
    <row r="110" spans="2:42" x14ac:dyDescent="0.2">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row>
    <row r="111" spans="2:42" x14ac:dyDescent="0.2">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row>
    <row r="112" spans="2:42" x14ac:dyDescent="0.2">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row>
    <row r="113" spans="2:42" x14ac:dyDescent="0.2">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row>
    <row r="114" spans="2:42" x14ac:dyDescent="0.2">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row>
    <row r="115" spans="2:42" x14ac:dyDescent="0.2">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row>
    <row r="116" spans="2:42" x14ac:dyDescent="0.2">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row>
    <row r="117" spans="2:42" x14ac:dyDescent="0.2">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row>
    <row r="118" spans="2:42" x14ac:dyDescent="0.2">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row>
    <row r="119" spans="2:42" x14ac:dyDescent="0.2">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row>
    <row r="120" spans="2:42" x14ac:dyDescent="0.2">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row>
    <row r="121" spans="2:42" x14ac:dyDescent="0.2">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row>
    <row r="122" spans="2:42" x14ac:dyDescent="0.2">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c r="AP122" s="40"/>
    </row>
    <row r="123" spans="2:42" x14ac:dyDescent="0.2">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row>
    <row r="124" spans="2:42" x14ac:dyDescent="0.2">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row>
    <row r="125" spans="2:42" x14ac:dyDescent="0.2">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row>
    <row r="126" spans="2:42" x14ac:dyDescent="0.2">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row>
    <row r="127" spans="2:42" x14ac:dyDescent="0.2">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c r="AK127" s="40"/>
      <c r="AL127" s="40"/>
      <c r="AM127" s="40"/>
      <c r="AN127" s="40"/>
      <c r="AO127" s="40"/>
      <c r="AP127" s="40"/>
    </row>
    <row r="128" spans="2:42" x14ac:dyDescent="0.2">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40"/>
      <c r="AN128" s="40"/>
      <c r="AO128" s="40"/>
      <c r="AP128" s="40"/>
    </row>
    <row r="129" spans="2:42" x14ac:dyDescent="0.2">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c r="AO129" s="40"/>
      <c r="AP129" s="40"/>
    </row>
    <row r="130" spans="2:42" x14ac:dyDescent="0.2">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O130" s="40"/>
      <c r="AP130" s="40"/>
    </row>
    <row r="131" spans="2:42" x14ac:dyDescent="0.2">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40"/>
      <c r="AK131" s="40"/>
      <c r="AL131" s="40"/>
      <c r="AM131" s="40"/>
      <c r="AN131" s="40"/>
      <c r="AO131" s="40"/>
      <c r="AP131" s="40"/>
    </row>
    <row r="132" spans="2:42" x14ac:dyDescent="0.2">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row>
    <row r="133" spans="2:42" x14ac:dyDescent="0.2">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row>
    <row r="134" spans="2:42" x14ac:dyDescent="0.2">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c r="AP134" s="40"/>
    </row>
    <row r="135" spans="2:42" x14ac:dyDescent="0.2">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row>
    <row r="136" spans="2:42" x14ac:dyDescent="0.2">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row>
    <row r="137" spans="2:42" x14ac:dyDescent="0.2">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0"/>
      <c r="AI137" s="40"/>
      <c r="AJ137" s="40"/>
      <c r="AK137" s="40"/>
      <c r="AL137" s="40"/>
      <c r="AM137" s="40"/>
      <c r="AN137" s="40"/>
      <c r="AO137" s="40"/>
      <c r="AP137" s="40"/>
    </row>
    <row r="138" spans="2:42" x14ac:dyDescent="0.2">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c r="AO138" s="40"/>
      <c r="AP138" s="40"/>
    </row>
    <row r="139" spans="2:42" x14ac:dyDescent="0.2">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40"/>
      <c r="AN139" s="40"/>
      <c r="AO139" s="40"/>
      <c r="AP139" s="40"/>
    </row>
    <row r="140" spans="2:42" x14ac:dyDescent="0.2">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c r="AH140" s="40"/>
      <c r="AI140" s="40"/>
      <c r="AJ140" s="40"/>
      <c r="AK140" s="40"/>
      <c r="AL140" s="40"/>
      <c r="AM140" s="40"/>
      <c r="AN140" s="40"/>
      <c r="AO140" s="40"/>
      <c r="AP140" s="40"/>
    </row>
    <row r="141" spans="2:42" x14ac:dyDescent="0.2">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c r="AH141" s="40"/>
      <c r="AI141" s="40"/>
      <c r="AJ141" s="40"/>
      <c r="AK141" s="40"/>
      <c r="AL141" s="40"/>
      <c r="AM141" s="40"/>
      <c r="AN141" s="40"/>
      <c r="AO141" s="40"/>
      <c r="AP141" s="40"/>
    </row>
    <row r="142" spans="2:42" x14ac:dyDescent="0.2">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row>
    <row r="143" spans="2:42" x14ac:dyDescent="0.2">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row>
    <row r="144" spans="2:42" x14ac:dyDescent="0.2">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40"/>
      <c r="AK144" s="40"/>
      <c r="AL144" s="40"/>
      <c r="AM144" s="40"/>
      <c r="AN144" s="40"/>
      <c r="AO144" s="40"/>
      <c r="AP144" s="40"/>
    </row>
    <row r="145" spans="2:42" x14ac:dyDescent="0.2">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c r="AH145" s="40"/>
      <c r="AI145" s="40"/>
      <c r="AJ145" s="40"/>
      <c r="AK145" s="40"/>
      <c r="AL145" s="40"/>
      <c r="AM145" s="40"/>
      <c r="AN145" s="40"/>
      <c r="AO145" s="40"/>
      <c r="AP145" s="40"/>
    </row>
    <row r="146" spans="2:42" x14ac:dyDescent="0.2">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0"/>
      <c r="AI146" s="40"/>
      <c r="AJ146" s="40"/>
      <c r="AK146" s="40"/>
      <c r="AL146" s="40"/>
      <c r="AM146" s="40"/>
      <c r="AN146" s="40"/>
      <c r="AO146" s="40"/>
      <c r="AP146" s="40"/>
    </row>
    <row r="147" spans="2:42" x14ac:dyDescent="0.2">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row>
    <row r="148" spans="2:42" x14ac:dyDescent="0.2">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row>
    <row r="149" spans="2:42" x14ac:dyDescent="0.2">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row>
    <row r="150" spans="2:42" x14ac:dyDescent="0.2">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row>
    <row r="151" spans="2:42" x14ac:dyDescent="0.2">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40"/>
      <c r="AN151" s="40"/>
      <c r="AO151" s="40"/>
      <c r="AP151" s="40"/>
    </row>
    <row r="152" spans="2:42" x14ac:dyDescent="0.2">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row>
    <row r="153" spans="2:42" x14ac:dyDescent="0.2">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40"/>
      <c r="AN153" s="40"/>
      <c r="AO153" s="40"/>
      <c r="AP153" s="40"/>
    </row>
    <row r="154" spans="2:42" x14ac:dyDescent="0.2">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c r="AP154" s="40"/>
    </row>
    <row r="155" spans="2:42" x14ac:dyDescent="0.2">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40"/>
      <c r="AN155" s="40"/>
      <c r="AO155" s="40"/>
      <c r="AP155" s="40"/>
    </row>
    <row r="156" spans="2:42" x14ac:dyDescent="0.2">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c r="AP156" s="40"/>
    </row>
    <row r="157" spans="2:42" x14ac:dyDescent="0.2">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c r="AK157" s="40"/>
      <c r="AL157" s="40"/>
      <c r="AM157" s="40"/>
      <c r="AN157" s="40"/>
      <c r="AO157" s="40"/>
      <c r="AP157" s="40"/>
    </row>
    <row r="158" spans="2:42" x14ac:dyDescent="0.2">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row>
    <row r="159" spans="2:42" x14ac:dyDescent="0.2">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row>
    <row r="160" spans="2:42" x14ac:dyDescent="0.2">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c r="AO160" s="40"/>
      <c r="AP160" s="40"/>
    </row>
    <row r="161" spans="2:42" x14ac:dyDescent="0.2">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40"/>
      <c r="AN161" s="40"/>
      <c r="AO161" s="40"/>
      <c r="AP161" s="40"/>
    </row>
    <row r="162" spans="2:42" x14ac:dyDescent="0.2">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row>
    <row r="163" spans="2:42" x14ac:dyDescent="0.2">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row>
    <row r="164" spans="2:42" x14ac:dyDescent="0.2">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0"/>
      <c r="AO164" s="40"/>
      <c r="AP164" s="40"/>
    </row>
    <row r="165" spans="2:42" x14ac:dyDescent="0.2">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0"/>
      <c r="AO165" s="40"/>
      <c r="AP165" s="40"/>
    </row>
    <row r="166" spans="2:42" x14ac:dyDescent="0.2">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row>
    <row r="167" spans="2:42" x14ac:dyDescent="0.2">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40"/>
      <c r="AN167" s="40"/>
      <c r="AO167" s="40"/>
      <c r="AP167" s="40"/>
    </row>
    <row r="168" spans="2:42" x14ac:dyDescent="0.2">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row>
    <row r="169" spans="2:42" x14ac:dyDescent="0.2">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40"/>
      <c r="AK169" s="40"/>
      <c r="AL169" s="40"/>
      <c r="AM169" s="40"/>
      <c r="AN169" s="40"/>
      <c r="AO169" s="40"/>
      <c r="AP169" s="40"/>
    </row>
    <row r="170" spans="2:42" x14ac:dyDescent="0.2">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40"/>
      <c r="AN170" s="40"/>
      <c r="AO170" s="40"/>
      <c r="AP170" s="40"/>
    </row>
    <row r="171" spans="2:42" x14ac:dyDescent="0.2">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c r="AK171" s="40"/>
      <c r="AL171" s="40"/>
      <c r="AM171" s="40"/>
      <c r="AN171" s="40"/>
      <c r="AO171" s="40"/>
      <c r="AP171" s="40"/>
    </row>
    <row r="172" spans="2:42" x14ac:dyDescent="0.2">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40"/>
      <c r="AN172" s="40"/>
      <c r="AO172" s="40"/>
      <c r="AP172" s="40"/>
    </row>
    <row r="173" spans="2:42" x14ac:dyDescent="0.2">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row>
    <row r="174" spans="2:42" x14ac:dyDescent="0.2">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row>
    <row r="175" spans="2:42" x14ac:dyDescent="0.2">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row>
    <row r="176" spans="2:42" x14ac:dyDescent="0.2">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row>
    <row r="177" spans="2:42" x14ac:dyDescent="0.2">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row>
    <row r="178" spans="2:42" x14ac:dyDescent="0.2">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40"/>
      <c r="AN178" s="40"/>
      <c r="AO178" s="40"/>
      <c r="AP178" s="40"/>
    </row>
    <row r="179" spans="2:42" x14ac:dyDescent="0.2">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row>
    <row r="180" spans="2:42" x14ac:dyDescent="0.2">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row>
    <row r="181" spans="2:42" x14ac:dyDescent="0.2">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row>
    <row r="182" spans="2:42" x14ac:dyDescent="0.2">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c r="AP182" s="40"/>
    </row>
    <row r="183" spans="2:42" x14ac:dyDescent="0.2">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c r="AK183" s="40"/>
      <c r="AL183" s="40"/>
      <c r="AM183" s="40"/>
      <c r="AN183" s="40"/>
      <c r="AO183" s="40"/>
      <c r="AP183" s="40"/>
    </row>
    <row r="184" spans="2:42" x14ac:dyDescent="0.2">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40"/>
      <c r="AN184" s="40"/>
      <c r="AO184" s="40"/>
      <c r="AP184" s="40"/>
    </row>
    <row r="185" spans="2:42" x14ac:dyDescent="0.2">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c r="AK185" s="40"/>
      <c r="AL185" s="40"/>
      <c r="AM185" s="40"/>
      <c r="AN185" s="40"/>
      <c r="AO185" s="40"/>
      <c r="AP185" s="40"/>
    </row>
    <row r="186" spans="2:42" x14ac:dyDescent="0.2">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c r="AK186" s="40"/>
      <c r="AL186" s="40"/>
      <c r="AM186" s="40"/>
      <c r="AN186" s="40"/>
      <c r="AO186" s="40"/>
      <c r="AP186" s="40"/>
    </row>
    <row r="187" spans="2:42" x14ac:dyDescent="0.2">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c r="AL187" s="40"/>
      <c r="AM187" s="40"/>
      <c r="AN187" s="40"/>
      <c r="AO187" s="40"/>
      <c r="AP187" s="40"/>
    </row>
    <row r="188" spans="2:42" x14ac:dyDescent="0.2">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40"/>
      <c r="AN188" s="40"/>
      <c r="AO188" s="40"/>
      <c r="AP188" s="40"/>
    </row>
    <row r="189" spans="2:42" x14ac:dyDescent="0.2">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c r="AL189" s="40"/>
      <c r="AM189" s="40"/>
      <c r="AN189" s="40"/>
      <c r="AO189" s="40"/>
      <c r="AP189" s="40"/>
    </row>
    <row r="190" spans="2:42" x14ac:dyDescent="0.2">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40"/>
      <c r="AN190" s="40"/>
      <c r="AO190" s="40"/>
      <c r="AP190" s="40"/>
    </row>
    <row r="191" spans="2:42" x14ac:dyDescent="0.2">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c r="AK191" s="40"/>
      <c r="AL191" s="40"/>
      <c r="AM191" s="40"/>
      <c r="AN191" s="40"/>
      <c r="AO191" s="40"/>
      <c r="AP191" s="40"/>
    </row>
    <row r="192" spans="2:42" x14ac:dyDescent="0.2">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40"/>
      <c r="AL192" s="40"/>
      <c r="AM192" s="40"/>
      <c r="AN192" s="40"/>
      <c r="AO192" s="40"/>
      <c r="AP192" s="40"/>
    </row>
    <row r="193" spans="2:42" x14ac:dyDescent="0.2">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row>
    <row r="194" spans="2:42" x14ac:dyDescent="0.2">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row>
    <row r="195" spans="2:42" x14ac:dyDescent="0.2">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0"/>
      <c r="AK195" s="40"/>
      <c r="AL195" s="40"/>
      <c r="AM195" s="40"/>
      <c r="AN195" s="40"/>
      <c r="AO195" s="40"/>
      <c r="AP195" s="40"/>
    </row>
    <row r="196" spans="2:42" x14ac:dyDescent="0.2">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row>
    <row r="197" spans="2:42" x14ac:dyDescent="0.2">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row>
    <row r="198" spans="2:42" x14ac:dyDescent="0.2">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c r="AH198" s="40"/>
      <c r="AI198" s="40"/>
      <c r="AJ198" s="40"/>
      <c r="AK198" s="40"/>
      <c r="AL198" s="40"/>
      <c r="AM198" s="40"/>
      <c r="AN198" s="40"/>
      <c r="AO198" s="40"/>
      <c r="AP198" s="40"/>
    </row>
    <row r="199" spans="2:42" x14ac:dyDescent="0.2">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c r="AH199" s="40"/>
      <c r="AI199" s="40"/>
      <c r="AJ199" s="40"/>
      <c r="AK199" s="40"/>
      <c r="AL199" s="40"/>
      <c r="AM199" s="40"/>
      <c r="AN199" s="40"/>
      <c r="AO199" s="40"/>
      <c r="AP199" s="40"/>
    </row>
    <row r="200" spans="2:42" x14ac:dyDescent="0.2">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c r="AH200" s="40"/>
      <c r="AI200" s="40"/>
      <c r="AJ200" s="40"/>
      <c r="AK200" s="40"/>
      <c r="AL200" s="40"/>
      <c r="AM200" s="40"/>
      <c r="AN200" s="40"/>
      <c r="AO200" s="40"/>
      <c r="AP200" s="40"/>
    </row>
    <row r="201" spans="2:42" x14ac:dyDescent="0.2">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c r="AH201" s="40"/>
      <c r="AI201" s="40"/>
      <c r="AJ201" s="40"/>
      <c r="AK201" s="40"/>
      <c r="AL201" s="40"/>
      <c r="AM201" s="40"/>
      <c r="AN201" s="40"/>
      <c r="AO201" s="40"/>
      <c r="AP201" s="40"/>
    </row>
    <row r="202" spans="2:42" x14ac:dyDescent="0.2">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c r="AG202" s="40"/>
      <c r="AH202" s="40"/>
      <c r="AI202" s="40"/>
      <c r="AJ202" s="40"/>
      <c r="AK202" s="40"/>
      <c r="AL202" s="40"/>
      <c r="AM202" s="40"/>
      <c r="AN202" s="40"/>
      <c r="AO202" s="40"/>
      <c r="AP202" s="40"/>
    </row>
    <row r="203" spans="2:42" x14ac:dyDescent="0.2">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c r="AH203" s="40"/>
      <c r="AI203" s="40"/>
      <c r="AJ203" s="40"/>
      <c r="AK203" s="40"/>
      <c r="AL203" s="40"/>
      <c r="AM203" s="40"/>
      <c r="AN203" s="40"/>
      <c r="AO203" s="40"/>
      <c r="AP203" s="40"/>
    </row>
    <row r="204" spans="2:42" x14ac:dyDescent="0.2">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c r="AG204" s="40"/>
      <c r="AH204" s="40"/>
      <c r="AI204" s="40"/>
      <c r="AJ204" s="40"/>
      <c r="AK204" s="40"/>
      <c r="AL204" s="40"/>
      <c r="AM204" s="40"/>
      <c r="AN204" s="40"/>
      <c r="AO204" s="40"/>
      <c r="AP204" s="40"/>
    </row>
    <row r="205" spans="2:42" x14ac:dyDescent="0.2">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c r="AG205" s="40"/>
      <c r="AH205" s="40"/>
      <c r="AI205" s="40"/>
      <c r="AJ205" s="40"/>
      <c r="AK205" s="40"/>
      <c r="AL205" s="40"/>
      <c r="AM205" s="40"/>
      <c r="AN205" s="40"/>
      <c r="AO205" s="40"/>
      <c r="AP205" s="40"/>
    </row>
    <row r="206" spans="2:42" x14ac:dyDescent="0.2">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c r="AG206" s="40"/>
      <c r="AH206" s="40"/>
      <c r="AI206" s="40"/>
      <c r="AJ206" s="40"/>
      <c r="AK206" s="40"/>
      <c r="AL206" s="40"/>
      <c r="AM206" s="40"/>
      <c r="AN206" s="40"/>
      <c r="AO206" s="40"/>
      <c r="AP206" s="40"/>
    </row>
    <row r="207" spans="2:42" x14ac:dyDescent="0.2">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row>
    <row r="208" spans="2:42" x14ac:dyDescent="0.2">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c r="AH208" s="40"/>
      <c r="AI208" s="40"/>
      <c r="AJ208" s="40"/>
      <c r="AK208" s="40"/>
      <c r="AL208" s="40"/>
      <c r="AM208" s="40"/>
      <c r="AN208" s="40"/>
      <c r="AO208" s="40"/>
      <c r="AP208" s="40"/>
    </row>
    <row r="209" spans="2:42" x14ac:dyDescent="0.2">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row>
    <row r="210" spans="2:42" x14ac:dyDescent="0.2">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c r="AH210" s="40"/>
      <c r="AI210" s="40"/>
      <c r="AJ210" s="40"/>
      <c r="AK210" s="40"/>
      <c r="AL210" s="40"/>
      <c r="AM210" s="40"/>
      <c r="AN210" s="40"/>
      <c r="AO210" s="40"/>
      <c r="AP210" s="40"/>
    </row>
    <row r="211" spans="2:42" x14ac:dyDescent="0.2">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c r="AH211" s="40"/>
      <c r="AI211" s="40"/>
      <c r="AJ211" s="40"/>
      <c r="AK211" s="40"/>
      <c r="AL211" s="40"/>
      <c r="AM211" s="40"/>
      <c r="AN211" s="40"/>
      <c r="AO211" s="40"/>
      <c r="AP211" s="40"/>
    </row>
    <row r="212" spans="2:42" x14ac:dyDescent="0.2">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c r="AG212" s="40"/>
      <c r="AH212" s="40"/>
      <c r="AI212" s="40"/>
      <c r="AJ212" s="40"/>
      <c r="AK212" s="40"/>
      <c r="AL212" s="40"/>
      <c r="AM212" s="40"/>
      <c r="AN212" s="40"/>
      <c r="AO212" s="40"/>
      <c r="AP212" s="40"/>
    </row>
    <row r="213" spans="2:42" x14ac:dyDescent="0.2">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c r="AG213" s="40"/>
      <c r="AH213" s="40"/>
      <c r="AI213" s="40"/>
      <c r="AJ213" s="40"/>
      <c r="AK213" s="40"/>
      <c r="AL213" s="40"/>
      <c r="AM213" s="40"/>
      <c r="AN213" s="40"/>
      <c r="AO213" s="40"/>
      <c r="AP213" s="40"/>
    </row>
    <row r="214" spans="2:42" x14ac:dyDescent="0.2">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c r="AG214" s="40"/>
      <c r="AH214" s="40"/>
      <c r="AI214" s="40"/>
      <c r="AJ214" s="40"/>
      <c r="AK214" s="40"/>
      <c r="AL214" s="40"/>
      <c r="AM214" s="40"/>
      <c r="AN214" s="40"/>
      <c r="AO214" s="40"/>
      <c r="AP214" s="40"/>
    </row>
    <row r="215" spans="2:42" x14ac:dyDescent="0.2">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row>
    <row r="216" spans="2:42" x14ac:dyDescent="0.2">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c r="AG216" s="40"/>
      <c r="AH216" s="40"/>
      <c r="AI216" s="40"/>
      <c r="AJ216" s="40"/>
      <c r="AK216" s="40"/>
      <c r="AL216" s="40"/>
      <c r="AM216" s="40"/>
      <c r="AN216" s="40"/>
      <c r="AO216" s="40"/>
      <c r="AP216" s="40"/>
    </row>
    <row r="217" spans="2:42" x14ac:dyDescent="0.2">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c r="AG217" s="40"/>
      <c r="AH217" s="40"/>
      <c r="AI217" s="40"/>
      <c r="AJ217" s="40"/>
      <c r="AK217" s="40"/>
      <c r="AL217" s="40"/>
      <c r="AM217" s="40"/>
      <c r="AN217" s="40"/>
      <c r="AO217" s="40"/>
      <c r="AP217" s="40"/>
    </row>
    <row r="218" spans="2:42" x14ac:dyDescent="0.2">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c r="AH218" s="40"/>
      <c r="AI218" s="40"/>
      <c r="AJ218" s="40"/>
      <c r="AK218" s="40"/>
      <c r="AL218" s="40"/>
      <c r="AM218" s="40"/>
      <c r="AN218" s="40"/>
      <c r="AO218" s="40"/>
      <c r="AP218" s="40"/>
    </row>
    <row r="219" spans="2:42" x14ac:dyDescent="0.2">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c r="AG219" s="40"/>
      <c r="AH219" s="40"/>
      <c r="AI219" s="40"/>
      <c r="AJ219" s="40"/>
      <c r="AK219" s="40"/>
      <c r="AL219" s="40"/>
      <c r="AM219" s="40"/>
      <c r="AN219" s="40"/>
      <c r="AO219" s="40"/>
      <c r="AP219" s="40"/>
    </row>
    <row r="220" spans="2:42" x14ac:dyDescent="0.2">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c r="AG220" s="40"/>
      <c r="AH220" s="40"/>
      <c r="AI220" s="40"/>
      <c r="AJ220" s="40"/>
      <c r="AK220" s="40"/>
      <c r="AL220" s="40"/>
      <c r="AM220" s="40"/>
      <c r="AN220" s="40"/>
      <c r="AO220" s="40"/>
      <c r="AP220" s="40"/>
    </row>
    <row r="221" spans="2:42" x14ac:dyDescent="0.2">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c r="AH221" s="40"/>
      <c r="AI221" s="40"/>
      <c r="AJ221" s="40"/>
      <c r="AK221" s="40"/>
      <c r="AL221" s="40"/>
      <c r="AM221" s="40"/>
      <c r="AN221" s="40"/>
      <c r="AO221" s="40"/>
      <c r="AP221" s="40"/>
    </row>
    <row r="222" spans="2:42" x14ac:dyDescent="0.2">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c r="AH222" s="40"/>
      <c r="AI222" s="40"/>
      <c r="AJ222" s="40"/>
      <c r="AK222" s="40"/>
      <c r="AL222" s="40"/>
      <c r="AM222" s="40"/>
      <c r="AN222" s="40"/>
      <c r="AO222" s="40"/>
      <c r="AP222" s="40"/>
    </row>
    <row r="223" spans="2:42" x14ac:dyDescent="0.2">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c r="AH223" s="40"/>
      <c r="AI223" s="40"/>
      <c r="AJ223" s="40"/>
      <c r="AK223" s="40"/>
      <c r="AL223" s="40"/>
      <c r="AM223" s="40"/>
      <c r="AN223" s="40"/>
      <c r="AO223" s="40"/>
      <c r="AP223" s="40"/>
    </row>
    <row r="224" spans="2:42" x14ac:dyDescent="0.2">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c r="AG224" s="40"/>
      <c r="AH224" s="40"/>
      <c r="AI224" s="40"/>
      <c r="AJ224" s="40"/>
      <c r="AK224" s="40"/>
      <c r="AL224" s="40"/>
      <c r="AM224" s="40"/>
      <c r="AN224" s="40"/>
      <c r="AO224" s="40"/>
      <c r="AP224" s="40"/>
    </row>
    <row r="225" spans="2:42" x14ac:dyDescent="0.2">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c r="AH225" s="40"/>
      <c r="AI225" s="40"/>
      <c r="AJ225" s="40"/>
      <c r="AK225" s="40"/>
      <c r="AL225" s="40"/>
      <c r="AM225" s="40"/>
      <c r="AN225" s="40"/>
      <c r="AO225" s="40"/>
      <c r="AP225" s="40"/>
    </row>
    <row r="226" spans="2:42" x14ac:dyDescent="0.2">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c r="AH226" s="40"/>
      <c r="AI226" s="40"/>
      <c r="AJ226" s="40"/>
      <c r="AK226" s="40"/>
      <c r="AL226" s="40"/>
      <c r="AM226" s="40"/>
      <c r="AN226" s="40"/>
      <c r="AO226" s="40"/>
      <c r="AP226" s="40"/>
    </row>
    <row r="227" spans="2:42" x14ac:dyDescent="0.2">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c r="AH227" s="40"/>
      <c r="AI227" s="40"/>
      <c r="AJ227" s="40"/>
      <c r="AK227" s="40"/>
      <c r="AL227" s="40"/>
      <c r="AM227" s="40"/>
      <c r="AN227" s="40"/>
      <c r="AO227" s="40"/>
      <c r="AP227" s="40"/>
    </row>
    <row r="228" spans="2:42" x14ac:dyDescent="0.2">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c r="AH228" s="40"/>
      <c r="AI228" s="40"/>
      <c r="AJ228" s="40"/>
      <c r="AK228" s="40"/>
      <c r="AL228" s="40"/>
      <c r="AM228" s="40"/>
      <c r="AN228" s="40"/>
      <c r="AO228" s="40"/>
      <c r="AP228" s="40"/>
    </row>
    <row r="229" spans="2:42" x14ac:dyDescent="0.2">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c r="AG229" s="40"/>
      <c r="AH229" s="40"/>
      <c r="AI229" s="40"/>
      <c r="AJ229" s="40"/>
      <c r="AK229" s="40"/>
      <c r="AL229" s="40"/>
      <c r="AM229" s="40"/>
      <c r="AN229" s="40"/>
      <c r="AO229" s="40"/>
      <c r="AP229" s="40"/>
    </row>
    <row r="230" spans="2:42" x14ac:dyDescent="0.2">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row>
    <row r="231" spans="2:42" x14ac:dyDescent="0.2">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c r="AH231" s="40"/>
      <c r="AI231" s="40"/>
      <c r="AJ231" s="40"/>
      <c r="AK231" s="40"/>
      <c r="AL231" s="40"/>
      <c r="AM231" s="40"/>
      <c r="AN231" s="40"/>
      <c r="AO231" s="40"/>
      <c r="AP231" s="40"/>
    </row>
    <row r="232" spans="2:42" x14ac:dyDescent="0.2">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c r="AG232" s="40"/>
      <c r="AH232" s="40"/>
      <c r="AI232" s="40"/>
      <c r="AJ232" s="40"/>
      <c r="AK232" s="40"/>
      <c r="AL232" s="40"/>
      <c r="AM232" s="40"/>
      <c r="AN232" s="40"/>
      <c r="AO232" s="40"/>
      <c r="AP232" s="40"/>
    </row>
    <row r="233" spans="2:42" x14ac:dyDescent="0.2">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c r="AH233" s="40"/>
      <c r="AI233" s="40"/>
      <c r="AJ233" s="40"/>
      <c r="AK233" s="40"/>
      <c r="AL233" s="40"/>
      <c r="AM233" s="40"/>
      <c r="AN233" s="40"/>
      <c r="AO233" s="40"/>
      <c r="AP233" s="40"/>
    </row>
    <row r="234" spans="2:42" x14ac:dyDescent="0.2">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c r="AG234" s="40"/>
      <c r="AH234" s="40"/>
      <c r="AI234" s="40"/>
      <c r="AJ234" s="40"/>
      <c r="AK234" s="40"/>
      <c r="AL234" s="40"/>
      <c r="AM234" s="40"/>
      <c r="AN234" s="40"/>
      <c r="AO234" s="40"/>
      <c r="AP234" s="40"/>
    </row>
    <row r="235" spans="2:42" x14ac:dyDescent="0.2">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c r="AH235" s="40"/>
      <c r="AI235" s="40"/>
      <c r="AJ235" s="40"/>
      <c r="AK235" s="40"/>
      <c r="AL235" s="40"/>
      <c r="AM235" s="40"/>
      <c r="AN235" s="40"/>
      <c r="AO235" s="40"/>
      <c r="AP235" s="40"/>
    </row>
    <row r="236" spans="2:42" x14ac:dyDescent="0.2">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c r="AG236" s="40"/>
      <c r="AH236" s="40"/>
      <c r="AI236" s="40"/>
      <c r="AJ236" s="40"/>
      <c r="AK236" s="40"/>
      <c r="AL236" s="40"/>
      <c r="AM236" s="40"/>
      <c r="AN236" s="40"/>
      <c r="AO236" s="40"/>
      <c r="AP236" s="40"/>
    </row>
    <row r="237" spans="2:42" x14ac:dyDescent="0.2">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40"/>
      <c r="Z237" s="40"/>
      <c r="AA237" s="40"/>
      <c r="AB237" s="40"/>
      <c r="AC237" s="40"/>
      <c r="AD237" s="40"/>
      <c r="AE237" s="40"/>
      <c r="AF237" s="40"/>
      <c r="AG237" s="40"/>
      <c r="AH237" s="40"/>
      <c r="AI237" s="40"/>
      <c r="AJ237" s="40"/>
      <c r="AK237" s="40"/>
      <c r="AL237" s="40"/>
      <c r="AM237" s="40"/>
      <c r="AN237" s="40"/>
      <c r="AO237" s="40"/>
      <c r="AP237" s="40"/>
    </row>
    <row r="238" spans="2:42" x14ac:dyDescent="0.2">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40"/>
      <c r="Z238" s="40"/>
      <c r="AA238" s="40"/>
      <c r="AB238" s="40"/>
      <c r="AC238" s="40"/>
      <c r="AD238" s="40"/>
      <c r="AE238" s="40"/>
      <c r="AF238" s="40"/>
      <c r="AG238" s="40"/>
      <c r="AH238" s="40"/>
      <c r="AI238" s="40"/>
      <c r="AJ238" s="40"/>
      <c r="AK238" s="40"/>
      <c r="AL238" s="40"/>
      <c r="AM238" s="40"/>
      <c r="AN238" s="40"/>
      <c r="AO238" s="40"/>
      <c r="AP238" s="40"/>
    </row>
    <row r="239" spans="2:42" x14ac:dyDescent="0.2">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c r="AG239" s="40"/>
      <c r="AH239" s="40"/>
      <c r="AI239" s="40"/>
      <c r="AJ239" s="40"/>
      <c r="AK239" s="40"/>
      <c r="AL239" s="40"/>
      <c r="AM239" s="40"/>
      <c r="AN239" s="40"/>
      <c r="AO239" s="40"/>
      <c r="AP239" s="40"/>
    </row>
    <row r="240" spans="2:42" x14ac:dyDescent="0.2">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c r="AA240" s="40"/>
      <c r="AB240" s="40"/>
      <c r="AC240" s="40"/>
      <c r="AD240" s="40"/>
      <c r="AE240" s="40"/>
      <c r="AF240" s="40"/>
      <c r="AG240" s="40"/>
      <c r="AH240" s="40"/>
      <c r="AI240" s="40"/>
      <c r="AJ240" s="40"/>
      <c r="AK240" s="40"/>
      <c r="AL240" s="40"/>
      <c r="AM240" s="40"/>
      <c r="AN240" s="40"/>
      <c r="AO240" s="40"/>
      <c r="AP240" s="40"/>
    </row>
    <row r="241" spans="2:42" x14ac:dyDescent="0.2">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c r="AA241" s="40"/>
      <c r="AB241" s="40"/>
      <c r="AC241" s="40"/>
      <c r="AD241" s="40"/>
      <c r="AE241" s="40"/>
      <c r="AF241" s="40"/>
      <c r="AG241" s="40"/>
      <c r="AH241" s="40"/>
      <c r="AI241" s="40"/>
      <c r="AJ241" s="40"/>
      <c r="AK241" s="40"/>
      <c r="AL241" s="40"/>
      <c r="AM241" s="40"/>
      <c r="AN241" s="40"/>
      <c r="AO241" s="40"/>
      <c r="AP241" s="40"/>
    </row>
    <row r="242" spans="2:42" x14ac:dyDescent="0.2">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40"/>
      <c r="Z242" s="40"/>
      <c r="AA242" s="40"/>
      <c r="AB242" s="40"/>
      <c r="AC242" s="40"/>
      <c r="AD242" s="40"/>
      <c r="AE242" s="40"/>
      <c r="AF242" s="40"/>
      <c r="AG242" s="40"/>
      <c r="AH242" s="40"/>
      <c r="AI242" s="40"/>
      <c r="AJ242" s="40"/>
      <c r="AK242" s="40"/>
      <c r="AL242" s="40"/>
      <c r="AM242" s="40"/>
      <c r="AN242" s="40"/>
      <c r="AO242" s="40"/>
      <c r="AP242" s="40"/>
    </row>
    <row r="243" spans="2:42" x14ac:dyDescent="0.2">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40"/>
      <c r="Z243" s="40"/>
      <c r="AA243" s="40"/>
      <c r="AB243" s="40"/>
      <c r="AC243" s="40"/>
      <c r="AD243" s="40"/>
      <c r="AE243" s="40"/>
      <c r="AF243" s="40"/>
      <c r="AG243" s="40"/>
      <c r="AH243" s="40"/>
      <c r="AI243" s="40"/>
      <c r="AJ243" s="40"/>
      <c r="AK243" s="40"/>
      <c r="AL243" s="40"/>
      <c r="AM243" s="40"/>
      <c r="AN243" s="40"/>
      <c r="AO243" s="40"/>
      <c r="AP243" s="40"/>
    </row>
    <row r="244" spans="2:42" x14ac:dyDescent="0.2">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40"/>
      <c r="Z244" s="40"/>
      <c r="AA244" s="40"/>
      <c r="AB244" s="40"/>
      <c r="AC244" s="40"/>
      <c r="AD244" s="40"/>
      <c r="AE244" s="40"/>
      <c r="AF244" s="40"/>
      <c r="AG244" s="40"/>
      <c r="AH244" s="40"/>
      <c r="AI244" s="40"/>
      <c r="AJ244" s="40"/>
      <c r="AK244" s="40"/>
      <c r="AL244" s="40"/>
      <c r="AM244" s="40"/>
      <c r="AN244" s="40"/>
      <c r="AO244" s="40"/>
      <c r="AP244" s="40"/>
    </row>
    <row r="245" spans="2:42" x14ac:dyDescent="0.2">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row>
    <row r="246" spans="2:42" x14ac:dyDescent="0.2">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c r="AA246" s="40"/>
      <c r="AB246" s="40"/>
      <c r="AC246" s="40"/>
      <c r="AD246" s="40"/>
      <c r="AE246" s="40"/>
      <c r="AF246" s="40"/>
      <c r="AG246" s="40"/>
      <c r="AH246" s="40"/>
      <c r="AI246" s="40"/>
      <c r="AJ246" s="40"/>
      <c r="AK246" s="40"/>
      <c r="AL246" s="40"/>
      <c r="AM246" s="40"/>
      <c r="AN246" s="40"/>
      <c r="AO246" s="40"/>
      <c r="AP246" s="40"/>
    </row>
    <row r="247" spans="2:42" x14ac:dyDescent="0.2">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c r="AA247" s="40"/>
      <c r="AB247" s="40"/>
      <c r="AC247" s="40"/>
      <c r="AD247" s="40"/>
      <c r="AE247" s="40"/>
      <c r="AF247" s="40"/>
      <c r="AG247" s="40"/>
      <c r="AH247" s="40"/>
      <c r="AI247" s="40"/>
      <c r="AJ247" s="40"/>
      <c r="AK247" s="40"/>
      <c r="AL247" s="40"/>
      <c r="AM247" s="40"/>
      <c r="AN247" s="40"/>
      <c r="AO247" s="40"/>
      <c r="AP247" s="40"/>
    </row>
    <row r="248" spans="2:42" x14ac:dyDescent="0.2">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c r="AG248" s="40"/>
      <c r="AH248" s="40"/>
      <c r="AI248" s="40"/>
      <c r="AJ248" s="40"/>
      <c r="AK248" s="40"/>
      <c r="AL248" s="40"/>
      <c r="AM248" s="40"/>
      <c r="AN248" s="40"/>
      <c r="AO248" s="40"/>
      <c r="AP248" s="40"/>
    </row>
    <row r="249" spans="2:42" x14ac:dyDescent="0.2">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c r="AG249" s="40"/>
      <c r="AH249" s="40"/>
      <c r="AI249" s="40"/>
      <c r="AJ249" s="40"/>
      <c r="AK249" s="40"/>
      <c r="AL249" s="40"/>
      <c r="AM249" s="40"/>
      <c r="AN249" s="40"/>
      <c r="AO249" s="40"/>
      <c r="AP249" s="40"/>
    </row>
    <row r="250" spans="2:42" x14ac:dyDescent="0.2">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c r="AA250" s="40"/>
      <c r="AB250" s="40"/>
      <c r="AC250" s="40"/>
      <c r="AD250" s="40"/>
      <c r="AE250" s="40"/>
      <c r="AF250" s="40"/>
      <c r="AG250" s="40"/>
      <c r="AH250" s="40"/>
      <c r="AI250" s="40"/>
      <c r="AJ250" s="40"/>
      <c r="AK250" s="40"/>
      <c r="AL250" s="40"/>
      <c r="AM250" s="40"/>
      <c r="AN250" s="40"/>
      <c r="AO250" s="40"/>
      <c r="AP250" s="40"/>
    </row>
    <row r="251" spans="2:42" x14ac:dyDescent="0.2">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c r="AH251" s="40"/>
      <c r="AI251" s="40"/>
      <c r="AJ251" s="40"/>
      <c r="AK251" s="40"/>
      <c r="AL251" s="40"/>
      <c r="AM251" s="40"/>
      <c r="AN251" s="40"/>
      <c r="AO251" s="40"/>
      <c r="AP251" s="40"/>
    </row>
    <row r="252" spans="2:42" x14ac:dyDescent="0.2">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c r="AH252" s="40"/>
      <c r="AI252" s="40"/>
      <c r="AJ252" s="40"/>
      <c r="AK252" s="40"/>
      <c r="AL252" s="40"/>
      <c r="AM252" s="40"/>
      <c r="AN252" s="40"/>
      <c r="AO252" s="40"/>
      <c r="AP252" s="40"/>
    </row>
    <row r="253" spans="2:42" x14ac:dyDescent="0.2">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c r="AG253" s="40"/>
      <c r="AH253" s="40"/>
      <c r="AI253" s="40"/>
      <c r="AJ253" s="40"/>
      <c r="AK253" s="40"/>
      <c r="AL253" s="40"/>
      <c r="AM253" s="40"/>
      <c r="AN253" s="40"/>
      <c r="AO253" s="40"/>
      <c r="AP253" s="40"/>
    </row>
    <row r="254" spans="2:42" x14ac:dyDescent="0.2">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c r="AG254" s="40"/>
      <c r="AH254" s="40"/>
      <c r="AI254" s="40"/>
      <c r="AJ254" s="40"/>
      <c r="AK254" s="40"/>
      <c r="AL254" s="40"/>
      <c r="AM254" s="40"/>
      <c r="AN254" s="40"/>
      <c r="AO254" s="40"/>
      <c r="AP254" s="40"/>
    </row>
    <row r="255" spans="2:42" x14ac:dyDescent="0.2">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c r="AA255" s="40"/>
      <c r="AB255" s="40"/>
      <c r="AC255" s="40"/>
      <c r="AD255" s="40"/>
      <c r="AE255" s="40"/>
      <c r="AF255" s="40"/>
      <c r="AG255" s="40"/>
      <c r="AH255" s="40"/>
      <c r="AI255" s="40"/>
      <c r="AJ255" s="40"/>
      <c r="AK255" s="40"/>
      <c r="AL255" s="40"/>
      <c r="AM255" s="40"/>
      <c r="AN255" s="40"/>
      <c r="AO255" s="40"/>
      <c r="AP255" s="40"/>
    </row>
    <row r="256" spans="2:42" x14ac:dyDescent="0.2">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c r="AG256" s="40"/>
      <c r="AH256" s="40"/>
      <c r="AI256" s="40"/>
      <c r="AJ256" s="40"/>
      <c r="AK256" s="40"/>
      <c r="AL256" s="40"/>
      <c r="AM256" s="40"/>
      <c r="AN256" s="40"/>
      <c r="AO256" s="40"/>
      <c r="AP256" s="40"/>
    </row>
    <row r="257" spans="2:42" x14ac:dyDescent="0.2">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c r="AJ257" s="40"/>
      <c r="AK257" s="40"/>
      <c r="AL257" s="40"/>
      <c r="AM257" s="40"/>
      <c r="AN257" s="40"/>
      <c r="AO257" s="40"/>
      <c r="AP257" s="40"/>
    </row>
    <row r="258" spans="2:42" x14ac:dyDescent="0.2">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c r="AA258" s="40"/>
      <c r="AB258" s="40"/>
      <c r="AC258" s="40"/>
      <c r="AD258" s="40"/>
      <c r="AE258" s="40"/>
      <c r="AF258" s="40"/>
      <c r="AG258" s="40"/>
      <c r="AH258" s="40"/>
      <c r="AI258" s="40"/>
      <c r="AJ258" s="40"/>
      <c r="AK258" s="40"/>
      <c r="AL258" s="40"/>
      <c r="AM258" s="40"/>
      <c r="AN258" s="40"/>
      <c r="AO258" s="40"/>
      <c r="AP258" s="40"/>
    </row>
    <row r="259" spans="2:42" x14ac:dyDescent="0.2">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c r="AG259" s="40"/>
      <c r="AH259" s="40"/>
      <c r="AI259" s="40"/>
      <c r="AJ259" s="40"/>
      <c r="AK259" s="40"/>
      <c r="AL259" s="40"/>
      <c r="AM259" s="40"/>
      <c r="AN259" s="40"/>
      <c r="AO259" s="40"/>
      <c r="AP259" s="40"/>
    </row>
    <row r="260" spans="2:42" x14ac:dyDescent="0.2">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c r="AG260" s="40"/>
      <c r="AH260" s="40"/>
      <c r="AI260" s="40"/>
      <c r="AJ260" s="40"/>
      <c r="AK260" s="40"/>
      <c r="AL260" s="40"/>
      <c r="AM260" s="40"/>
      <c r="AN260" s="40"/>
      <c r="AO260" s="40"/>
      <c r="AP260" s="40"/>
    </row>
    <row r="261" spans="2:42" x14ac:dyDescent="0.2">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c r="AH261" s="40"/>
      <c r="AI261" s="40"/>
      <c r="AJ261" s="40"/>
      <c r="AK261" s="40"/>
      <c r="AL261" s="40"/>
      <c r="AM261" s="40"/>
      <c r="AN261" s="40"/>
      <c r="AO261" s="40"/>
      <c r="AP261" s="40"/>
    </row>
    <row r="262" spans="2:42" x14ac:dyDescent="0.2">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c r="AG262" s="40"/>
      <c r="AH262" s="40"/>
      <c r="AI262" s="40"/>
      <c r="AJ262" s="40"/>
      <c r="AK262" s="40"/>
      <c r="AL262" s="40"/>
      <c r="AM262" s="40"/>
      <c r="AN262" s="40"/>
      <c r="AO262" s="40"/>
      <c r="AP262" s="40"/>
    </row>
    <row r="263" spans="2:42" x14ac:dyDescent="0.2">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c r="AH263" s="40"/>
      <c r="AI263" s="40"/>
      <c r="AJ263" s="40"/>
      <c r="AK263" s="40"/>
      <c r="AL263" s="40"/>
      <c r="AM263" s="40"/>
      <c r="AN263" s="40"/>
      <c r="AO263" s="40"/>
      <c r="AP263" s="40"/>
    </row>
    <row r="264" spans="2:42" x14ac:dyDescent="0.2">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c r="AG264" s="40"/>
      <c r="AH264" s="40"/>
      <c r="AI264" s="40"/>
      <c r="AJ264" s="40"/>
      <c r="AK264" s="40"/>
      <c r="AL264" s="40"/>
      <c r="AM264" s="40"/>
      <c r="AN264" s="40"/>
      <c r="AO264" s="40"/>
      <c r="AP264" s="40"/>
    </row>
    <row r="265" spans="2:42" x14ac:dyDescent="0.2">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c r="AJ265" s="40"/>
      <c r="AK265" s="40"/>
      <c r="AL265" s="40"/>
      <c r="AM265" s="40"/>
      <c r="AN265" s="40"/>
      <c r="AO265" s="40"/>
      <c r="AP265" s="40"/>
    </row>
    <row r="266" spans="2:42" x14ac:dyDescent="0.2">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c r="AH266" s="40"/>
      <c r="AI266" s="40"/>
      <c r="AJ266" s="40"/>
      <c r="AK266" s="40"/>
      <c r="AL266" s="40"/>
      <c r="AM266" s="40"/>
      <c r="AN266" s="40"/>
      <c r="AO266" s="40"/>
      <c r="AP266" s="40"/>
    </row>
    <row r="267" spans="2:42" x14ac:dyDescent="0.2">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c r="AJ267" s="40"/>
      <c r="AK267" s="40"/>
      <c r="AL267" s="40"/>
      <c r="AM267" s="40"/>
      <c r="AN267" s="40"/>
      <c r="AO267" s="40"/>
      <c r="AP267" s="40"/>
    </row>
    <row r="268" spans="2:42" x14ac:dyDescent="0.2">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c r="AJ268" s="40"/>
      <c r="AK268" s="40"/>
      <c r="AL268" s="40"/>
      <c r="AM268" s="40"/>
      <c r="AN268" s="40"/>
      <c r="AO268" s="40"/>
      <c r="AP268" s="40"/>
    </row>
    <row r="269" spans="2:42" x14ac:dyDescent="0.2">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c r="AJ269" s="40"/>
      <c r="AK269" s="40"/>
      <c r="AL269" s="40"/>
      <c r="AM269" s="40"/>
      <c r="AN269" s="40"/>
      <c r="AO269" s="40"/>
      <c r="AP269" s="40"/>
    </row>
    <row r="270" spans="2:42" x14ac:dyDescent="0.2">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40"/>
      <c r="AJ270" s="40"/>
      <c r="AK270" s="40"/>
      <c r="AL270" s="40"/>
      <c r="AM270" s="40"/>
      <c r="AN270" s="40"/>
      <c r="AO270" s="40"/>
      <c r="AP270" s="40"/>
    </row>
    <row r="271" spans="2:42" x14ac:dyDescent="0.2">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c r="AG271" s="40"/>
      <c r="AH271" s="40"/>
      <c r="AI271" s="40"/>
      <c r="AJ271" s="40"/>
      <c r="AK271" s="40"/>
      <c r="AL271" s="40"/>
      <c r="AM271" s="40"/>
      <c r="AN271" s="40"/>
      <c r="AO271" s="40"/>
      <c r="AP271" s="40"/>
    </row>
    <row r="272" spans="2:42" x14ac:dyDescent="0.2">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c r="AH272" s="40"/>
      <c r="AI272" s="40"/>
      <c r="AJ272" s="40"/>
      <c r="AK272" s="40"/>
      <c r="AL272" s="40"/>
      <c r="AM272" s="40"/>
      <c r="AN272" s="40"/>
      <c r="AO272" s="40"/>
      <c r="AP272" s="40"/>
    </row>
    <row r="273" spans="2:42" x14ac:dyDescent="0.2">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c r="AH273" s="40"/>
      <c r="AI273" s="40"/>
      <c r="AJ273" s="40"/>
      <c r="AK273" s="40"/>
      <c r="AL273" s="40"/>
      <c r="AM273" s="40"/>
      <c r="AN273" s="40"/>
      <c r="AO273" s="40"/>
      <c r="AP273" s="40"/>
    </row>
    <row r="274" spans="2:42" x14ac:dyDescent="0.2">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c r="AH274" s="40"/>
      <c r="AI274" s="40"/>
      <c r="AJ274" s="40"/>
      <c r="AK274" s="40"/>
      <c r="AL274" s="40"/>
      <c r="AM274" s="40"/>
      <c r="AN274" s="40"/>
      <c r="AO274" s="40"/>
      <c r="AP274" s="40"/>
    </row>
    <row r="275" spans="2:42" x14ac:dyDescent="0.2">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c r="AH275" s="40"/>
      <c r="AI275" s="40"/>
      <c r="AJ275" s="40"/>
      <c r="AK275" s="40"/>
      <c r="AL275" s="40"/>
      <c r="AM275" s="40"/>
      <c r="AN275" s="40"/>
      <c r="AO275" s="40"/>
      <c r="AP275" s="40"/>
    </row>
    <row r="276" spans="2:42" x14ac:dyDescent="0.2">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c r="AG276" s="40"/>
      <c r="AH276" s="40"/>
      <c r="AI276" s="40"/>
      <c r="AJ276" s="40"/>
      <c r="AK276" s="40"/>
      <c r="AL276" s="40"/>
      <c r="AM276" s="40"/>
      <c r="AN276" s="40"/>
      <c r="AO276" s="40"/>
      <c r="AP276" s="40"/>
    </row>
    <row r="277" spans="2:42" x14ac:dyDescent="0.2">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c r="AG277" s="40"/>
      <c r="AH277" s="40"/>
      <c r="AI277" s="40"/>
      <c r="AJ277" s="40"/>
      <c r="AK277" s="40"/>
      <c r="AL277" s="40"/>
      <c r="AM277" s="40"/>
      <c r="AN277" s="40"/>
      <c r="AO277" s="40"/>
      <c r="AP277" s="40"/>
    </row>
    <row r="278" spans="2:42" x14ac:dyDescent="0.2">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c r="AG278" s="40"/>
      <c r="AH278" s="40"/>
      <c r="AI278" s="40"/>
      <c r="AJ278" s="40"/>
      <c r="AK278" s="40"/>
      <c r="AL278" s="40"/>
      <c r="AM278" s="40"/>
      <c r="AN278" s="40"/>
      <c r="AO278" s="40"/>
      <c r="AP278" s="40"/>
    </row>
    <row r="279" spans="2:42" x14ac:dyDescent="0.2">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c r="AG279" s="40"/>
      <c r="AH279" s="40"/>
      <c r="AI279" s="40"/>
      <c r="AJ279" s="40"/>
      <c r="AK279" s="40"/>
      <c r="AL279" s="40"/>
      <c r="AM279" s="40"/>
      <c r="AN279" s="40"/>
      <c r="AO279" s="40"/>
      <c r="AP279" s="40"/>
    </row>
    <row r="280" spans="2:42" x14ac:dyDescent="0.2">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c r="AG280" s="40"/>
      <c r="AH280" s="40"/>
      <c r="AI280" s="40"/>
      <c r="AJ280" s="40"/>
      <c r="AK280" s="40"/>
      <c r="AL280" s="40"/>
      <c r="AM280" s="40"/>
      <c r="AN280" s="40"/>
      <c r="AO280" s="40"/>
      <c r="AP280" s="40"/>
    </row>
    <row r="281" spans="2:42" x14ac:dyDescent="0.2">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c r="AG281" s="40"/>
      <c r="AH281" s="40"/>
      <c r="AI281" s="40"/>
      <c r="AJ281" s="40"/>
      <c r="AK281" s="40"/>
      <c r="AL281" s="40"/>
      <c r="AM281" s="40"/>
      <c r="AN281" s="40"/>
      <c r="AO281" s="40"/>
      <c r="AP281" s="40"/>
    </row>
    <row r="282" spans="2:42" x14ac:dyDescent="0.2">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c r="AG282" s="40"/>
      <c r="AH282" s="40"/>
      <c r="AI282" s="40"/>
      <c r="AJ282" s="40"/>
      <c r="AK282" s="40"/>
      <c r="AL282" s="40"/>
      <c r="AM282" s="40"/>
      <c r="AN282" s="40"/>
      <c r="AO282" s="40"/>
      <c r="AP282" s="40"/>
    </row>
    <row r="283" spans="2:42" x14ac:dyDescent="0.2">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c r="AG283" s="40"/>
      <c r="AH283" s="40"/>
      <c r="AI283" s="40"/>
      <c r="AJ283" s="40"/>
      <c r="AK283" s="40"/>
      <c r="AL283" s="40"/>
      <c r="AM283" s="40"/>
      <c r="AN283" s="40"/>
      <c r="AO283" s="40"/>
      <c r="AP283" s="40"/>
    </row>
    <row r="284" spans="2:42" x14ac:dyDescent="0.2">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c r="AG284" s="40"/>
      <c r="AH284" s="40"/>
      <c r="AI284" s="40"/>
      <c r="AJ284" s="40"/>
      <c r="AK284" s="40"/>
      <c r="AL284" s="40"/>
      <c r="AM284" s="40"/>
      <c r="AN284" s="40"/>
      <c r="AO284" s="40"/>
      <c r="AP284" s="40"/>
    </row>
    <row r="285" spans="2:42" x14ac:dyDescent="0.2">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c r="AG285" s="40"/>
      <c r="AH285" s="40"/>
      <c r="AI285" s="40"/>
      <c r="AJ285" s="40"/>
      <c r="AK285" s="40"/>
      <c r="AL285" s="40"/>
      <c r="AM285" s="40"/>
      <c r="AN285" s="40"/>
      <c r="AO285" s="40"/>
      <c r="AP285" s="40"/>
    </row>
    <row r="286" spans="2:42" x14ac:dyDescent="0.2">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c r="AH286" s="40"/>
      <c r="AI286" s="40"/>
      <c r="AJ286" s="40"/>
      <c r="AK286" s="40"/>
      <c r="AL286" s="40"/>
      <c r="AM286" s="40"/>
      <c r="AN286" s="40"/>
      <c r="AO286" s="40"/>
      <c r="AP286" s="40"/>
    </row>
    <row r="287" spans="2:42" x14ac:dyDescent="0.2">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c r="AG287" s="40"/>
      <c r="AH287" s="40"/>
      <c r="AI287" s="40"/>
      <c r="AJ287" s="40"/>
      <c r="AK287" s="40"/>
      <c r="AL287" s="40"/>
      <c r="AM287" s="40"/>
      <c r="AN287" s="40"/>
      <c r="AO287" s="40"/>
      <c r="AP287" s="40"/>
    </row>
    <row r="288" spans="2:42" x14ac:dyDescent="0.2">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c r="AH288" s="40"/>
      <c r="AI288" s="40"/>
      <c r="AJ288" s="40"/>
      <c r="AK288" s="40"/>
      <c r="AL288" s="40"/>
      <c r="AM288" s="40"/>
      <c r="AN288" s="40"/>
      <c r="AO288" s="40"/>
      <c r="AP288" s="40"/>
    </row>
    <row r="289" spans="2:42" x14ac:dyDescent="0.2">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c r="AG289" s="40"/>
      <c r="AH289" s="40"/>
      <c r="AI289" s="40"/>
      <c r="AJ289" s="40"/>
      <c r="AK289" s="40"/>
      <c r="AL289" s="40"/>
      <c r="AM289" s="40"/>
      <c r="AN289" s="40"/>
      <c r="AO289" s="40"/>
      <c r="AP289" s="40"/>
    </row>
    <row r="290" spans="2:42" x14ac:dyDescent="0.2">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c r="AG290" s="40"/>
      <c r="AH290" s="40"/>
      <c r="AI290" s="40"/>
      <c r="AJ290" s="40"/>
      <c r="AK290" s="40"/>
      <c r="AL290" s="40"/>
      <c r="AM290" s="40"/>
      <c r="AN290" s="40"/>
      <c r="AO290" s="40"/>
      <c r="AP290" s="40"/>
    </row>
    <row r="291" spans="2:42" x14ac:dyDescent="0.2">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c r="AG291" s="40"/>
      <c r="AH291" s="40"/>
      <c r="AI291" s="40"/>
      <c r="AJ291" s="40"/>
      <c r="AK291" s="40"/>
      <c r="AL291" s="40"/>
      <c r="AM291" s="40"/>
      <c r="AN291" s="40"/>
      <c r="AO291" s="40"/>
      <c r="AP291" s="40"/>
    </row>
    <row r="292" spans="2:42" x14ac:dyDescent="0.2">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c r="AG292" s="40"/>
      <c r="AH292" s="40"/>
      <c r="AI292" s="40"/>
      <c r="AJ292" s="40"/>
      <c r="AK292" s="40"/>
      <c r="AL292" s="40"/>
      <c r="AM292" s="40"/>
      <c r="AN292" s="40"/>
      <c r="AO292" s="40"/>
      <c r="AP292" s="40"/>
    </row>
    <row r="293" spans="2:42" x14ac:dyDescent="0.2">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c r="AG293" s="40"/>
      <c r="AH293" s="40"/>
      <c r="AI293" s="40"/>
      <c r="AJ293" s="40"/>
      <c r="AK293" s="40"/>
      <c r="AL293" s="40"/>
      <c r="AM293" s="40"/>
      <c r="AN293" s="40"/>
      <c r="AO293" s="40"/>
      <c r="AP293" s="40"/>
    </row>
    <row r="294" spans="2:42" x14ac:dyDescent="0.2">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c r="AG294" s="40"/>
      <c r="AH294" s="40"/>
      <c r="AI294" s="40"/>
      <c r="AJ294" s="40"/>
      <c r="AK294" s="40"/>
      <c r="AL294" s="40"/>
      <c r="AM294" s="40"/>
      <c r="AN294" s="40"/>
      <c r="AO294" s="40"/>
      <c r="AP294" s="40"/>
    </row>
    <row r="295" spans="2:42" x14ac:dyDescent="0.2">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c r="AG295" s="40"/>
      <c r="AH295" s="40"/>
      <c r="AI295" s="40"/>
      <c r="AJ295" s="40"/>
      <c r="AK295" s="40"/>
      <c r="AL295" s="40"/>
      <c r="AM295" s="40"/>
      <c r="AN295" s="40"/>
      <c r="AO295" s="40"/>
      <c r="AP295" s="40"/>
    </row>
    <row r="296" spans="2:42" x14ac:dyDescent="0.2">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c r="AG296" s="40"/>
      <c r="AH296" s="40"/>
      <c r="AI296" s="40"/>
      <c r="AJ296" s="40"/>
      <c r="AK296" s="40"/>
      <c r="AL296" s="40"/>
      <c r="AM296" s="40"/>
      <c r="AN296" s="40"/>
      <c r="AO296" s="40"/>
      <c r="AP296" s="40"/>
    </row>
    <row r="297" spans="2:42" x14ac:dyDescent="0.2">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c r="AG297" s="40"/>
      <c r="AH297" s="40"/>
      <c r="AI297" s="40"/>
      <c r="AJ297" s="40"/>
      <c r="AK297" s="40"/>
      <c r="AL297" s="40"/>
      <c r="AM297" s="40"/>
      <c r="AN297" s="40"/>
      <c r="AO297" s="40"/>
      <c r="AP297" s="40"/>
    </row>
    <row r="298" spans="2:42" x14ac:dyDescent="0.2">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c r="AA298" s="40"/>
      <c r="AB298" s="40"/>
      <c r="AC298" s="40"/>
      <c r="AD298" s="40"/>
      <c r="AE298" s="40"/>
      <c r="AF298" s="40"/>
      <c r="AG298" s="40"/>
      <c r="AH298" s="40"/>
      <c r="AI298" s="40"/>
      <c r="AJ298" s="40"/>
      <c r="AK298" s="40"/>
      <c r="AL298" s="40"/>
      <c r="AM298" s="40"/>
      <c r="AN298" s="40"/>
      <c r="AO298" s="40"/>
      <c r="AP298" s="40"/>
    </row>
    <row r="299" spans="2:42" x14ac:dyDescent="0.2">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c r="AG299" s="40"/>
      <c r="AH299" s="40"/>
      <c r="AI299" s="40"/>
      <c r="AJ299" s="40"/>
      <c r="AK299" s="40"/>
      <c r="AL299" s="40"/>
      <c r="AM299" s="40"/>
      <c r="AN299" s="40"/>
      <c r="AO299" s="40"/>
      <c r="AP299" s="40"/>
    </row>
    <row r="300" spans="2:42" x14ac:dyDescent="0.2">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c r="AH300" s="40"/>
      <c r="AI300" s="40"/>
      <c r="AJ300" s="40"/>
      <c r="AK300" s="40"/>
      <c r="AL300" s="40"/>
      <c r="AM300" s="40"/>
      <c r="AN300" s="40"/>
      <c r="AO300" s="40"/>
      <c r="AP300" s="40"/>
    </row>
    <row r="301" spans="2:42" x14ac:dyDescent="0.2">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c r="AG301" s="40"/>
      <c r="AH301" s="40"/>
      <c r="AI301" s="40"/>
      <c r="AJ301" s="40"/>
      <c r="AK301" s="40"/>
      <c r="AL301" s="40"/>
      <c r="AM301" s="40"/>
      <c r="AN301" s="40"/>
      <c r="AO301" s="40"/>
      <c r="AP301" s="40"/>
    </row>
    <row r="302" spans="2:42" x14ac:dyDescent="0.2">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c r="AG302" s="40"/>
      <c r="AH302" s="40"/>
      <c r="AI302" s="40"/>
      <c r="AJ302" s="40"/>
      <c r="AK302" s="40"/>
      <c r="AL302" s="40"/>
      <c r="AM302" s="40"/>
      <c r="AN302" s="40"/>
      <c r="AO302" s="40"/>
      <c r="AP302" s="40"/>
    </row>
    <row r="303" spans="2:42" x14ac:dyDescent="0.2">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c r="AG303" s="40"/>
      <c r="AH303" s="40"/>
      <c r="AI303" s="40"/>
      <c r="AJ303" s="40"/>
      <c r="AK303" s="40"/>
      <c r="AL303" s="40"/>
      <c r="AM303" s="40"/>
      <c r="AN303" s="40"/>
      <c r="AO303" s="40"/>
      <c r="AP303" s="40"/>
    </row>
    <row r="304" spans="2:42" x14ac:dyDescent="0.2">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c r="AG304" s="40"/>
      <c r="AH304" s="40"/>
      <c r="AI304" s="40"/>
      <c r="AJ304" s="40"/>
      <c r="AK304" s="40"/>
      <c r="AL304" s="40"/>
      <c r="AM304" s="40"/>
      <c r="AN304" s="40"/>
      <c r="AO304" s="40"/>
      <c r="AP304" s="40"/>
    </row>
    <row r="305" spans="2:42" x14ac:dyDescent="0.2">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c r="AA305" s="40"/>
      <c r="AB305" s="40"/>
      <c r="AC305" s="40"/>
      <c r="AD305" s="40"/>
      <c r="AE305" s="40"/>
      <c r="AF305" s="40"/>
      <c r="AG305" s="40"/>
      <c r="AH305" s="40"/>
      <c r="AI305" s="40"/>
      <c r="AJ305" s="40"/>
      <c r="AK305" s="40"/>
      <c r="AL305" s="40"/>
      <c r="AM305" s="40"/>
      <c r="AN305" s="40"/>
      <c r="AO305" s="40"/>
      <c r="AP305" s="40"/>
    </row>
    <row r="306" spans="2:42" x14ac:dyDescent="0.2">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c r="AA306" s="40"/>
      <c r="AB306" s="40"/>
      <c r="AC306" s="40"/>
      <c r="AD306" s="40"/>
      <c r="AE306" s="40"/>
      <c r="AF306" s="40"/>
      <c r="AG306" s="40"/>
      <c r="AH306" s="40"/>
      <c r="AI306" s="40"/>
      <c r="AJ306" s="40"/>
      <c r="AK306" s="40"/>
      <c r="AL306" s="40"/>
      <c r="AM306" s="40"/>
      <c r="AN306" s="40"/>
      <c r="AO306" s="40"/>
      <c r="AP306" s="40"/>
    </row>
    <row r="307" spans="2:42" x14ac:dyDescent="0.2">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c r="AG307" s="40"/>
      <c r="AH307" s="40"/>
      <c r="AI307" s="40"/>
      <c r="AJ307" s="40"/>
      <c r="AK307" s="40"/>
      <c r="AL307" s="40"/>
      <c r="AM307" s="40"/>
      <c r="AN307" s="40"/>
      <c r="AO307" s="40"/>
      <c r="AP307" s="40"/>
    </row>
    <row r="308" spans="2:42" x14ac:dyDescent="0.2">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c r="AG308" s="40"/>
      <c r="AH308" s="40"/>
      <c r="AI308" s="40"/>
      <c r="AJ308" s="40"/>
      <c r="AK308" s="40"/>
      <c r="AL308" s="40"/>
      <c r="AM308" s="40"/>
      <c r="AN308" s="40"/>
      <c r="AO308" s="40"/>
      <c r="AP308" s="40"/>
    </row>
    <row r="309" spans="2:42" x14ac:dyDescent="0.2">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c r="AA309" s="40"/>
      <c r="AB309" s="40"/>
      <c r="AC309" s="40"/>
      <c r="AD309" s="40"/>
      <c r="AE309" s="40"/>
      <c r="AF309" s="40"/>
      <c r="AG309" s="40"/>
      <c r="AH309" s="40"/>
      <c r="AI309" s="40"/>
      <c r="AJ309" s="40"/>
      <c r="AK309" s="40"/>
      <c r="AL309" s="40"/>
      <c r="AM309" s="40"/>
      <c r="AN309" s="40"/>
      <c r="AO309" s="40"/>
      <c r="AP309" s="40"/>
    </row>
    <row r="310" spans="2:42" x14ac:dyDescent="0.2">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c r="AG310" s="40"/>
      <c r="AH310" s="40"/>
      <c r="AI310" s="40"/>
      <c r="AJ310" s="40"/>
      <c r="AK310" s="40"/>
      <c r="AL310" s="40"/>
      <c r="AM310" s="40"/>
      <c r="AN310" s="40"/>
      <c r="AO310" s="40"/>
      <c r="AP310" s="40"/>
    </row>
    <row r="311" spans="2:42" x14ac:dyDescent="0.2">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c r="AA311" s="40"/>
      <c r="AB311" s="40"/>
      <c r="AC311" s="40"/>
      <c r="AD311" s="40"/>
      <c r="AE311" s="40"/>
      <c r="AF311" s="40"/>
      <c r="AG311" s="40"/>
      <c r="AH311" s="40"/>
      <c r="AI311" s="40"/>
      <c r="AJ311" s="40"/>
      <c r="AK311" s="40"/>
      <c r="AL311" s="40"/>
      <c r="AM311" s="40"/>
      <c r="AN311" s="40"/>
      <c r="AO311" s="40"/>
      <c r="AP311" s="40"/>
    </row>
    <row r="312" spans="2:42" x14ac:dyDescent="0.2">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c r="AA312" s="40"/>
      <c r="AB312" s="40"/>
      <c r="AC312" s="40"/>
      <c r="AD312" s="40"/>
      <c r="AE312" s="40"/>
      <c r="AF312" s="40"/>
      <c r="AG312" s="40"/>
      <c r="AH312" s="40"/>
      <c r="AI312" s="40"/>
      <c r="AJ312" s="40"/>
      <c r="AK312" s="40"/>
      <c r="AL312" s="40"/>
      <c r="AM312" s="40"/>
      <c r="AN312" s="40"/>
      <c r="AO312" s="40"/>
      <c r="AP312" s="40"/>
    </row>
    <row r="313" spans="2:42" x14ac:dyDescent="0.2">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c r="AA313" s="40"/>
      <c r="AB313" s="40"/>
      <c r="AC313" s="40"/>
      <c r="AD313" s="40"/>
      <c r="AE313" s="40"/>
      <c r="AF313" s="40"/>
      <c r="AG313" s="40"/>
      <c r="AH313" s="40"/>
      <c r="AI313" s="40"/>
      <c r="AJ313" s="40"/>
      <c r="AK313" s="40"/>
      <c r="AL313" s="40"/>
      <c r="AM313" s="40"/>
      <c r="AN313" s="40"/>
      <c r="AO313" s="40"/>
      <c r="AP313" s="40"/>
    </row>
    <row r="314" spans="2:42" x14ac:dyDescent="0.2">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c r="AG314" s="40"/>
      <c r="AH314" s="40"/>
      <c r="AI314" s="40"/>
      <c r="AJ314" s="40"/>
      <c r="AK314" s="40"/>
      <c r="AL314" s="40"/>
      <c r="AM314" s="40"/>
      <c r="AN314" s="40"/>
      <c r="AO314" s="40"/>
      <c r="AP314" s="40"/>
    </row>
    <row r="315" spans="2:42" x14ac:dyDescent="0.2">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c r="AA315" s="40"/>
      <c r="AB315" s="40"/>
      <c r="AC315" s="40"/>
      <c r="AD315" s="40"/>
      <c r="AE315" s="40"/>
      <c r="AF315" s="40"/>
      <c r="AG315" s="40"/>
      <c r="AH315" s="40"/>
      <c r="AI315" s="40"/>
      <c r="AJ315" s="40"/>
      <c r="AK315" s="40"/>
      <c r="AL315" s="40"/>
      <c r="AM315" s="40"/>
      <c r="AN315" s="40"/>
      <c r="AO315" s="40"/>
      <c r="AP315" s="40"/>
    </row>
    <row r="316" spans="2:42" x14ac:dyDescent="0.2">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c r="AA316" s="40"/>
      <c r="AB316" s="40"/>
      <c r="AC316" s="40"/>
      <c r="AD316" s="40"/>
      <c r="AE316" s="40"/>
      <c r="AF316" s="40"/>
      <c r="AG316" s="40"/>
      <c r="AH316" s="40"/>
      <c r="AI316" s="40"/>
      <c r="AJ316" s="40"/>
      <c r="AK316" s="40"/>
      <c r="AL316" s="40"/>
      <c r="AM316" s="40"/>
      <c r="AN316" s="40"/>
      <c r="AO316" s="40"/>
      <c r="AP316" s="40"/>
    </row>
    <row r="317" spans="2:42" x14ac:dyDescent="0.2">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c r="AA317" s="40"/>
      <c r="AB317" s="40"/>
      <c r="AC317" s="40"/>
      <c r="AD317" s="40"/>
      <c r="AE317" s="40"/>
      <c r="AF317" s="40"/>
      <c r="AG317" s="40"/>
      <c r="AH317" s="40"/>
      <c r="AI317" s="40"/>
      <c r="AJ317" s="40"/>
      <c r="AK317" s="40"/>
      <c r="AL317" s="40"/>
      <c r="AM317" s="40"/>
      <c r="AN317" s="40"/>
      <c r="AO317" s="40"/>
      <c r="AP317" s="40"/>
    </row>
    <row r="318" spans="2:42" x14ac:dyDescent="0.2">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c r="AA318" s="40"/>
      <c r="AB318" s="40"/>
      <c r="AC318" s="40"/>
      <c r="AD318" s="40"/>
      <c r="AE318" s="40"/>
      <c r="AF318" s="40"/>
      <c r="AG318" s="40"/>
      <c r="AH318" s="40"/>
      <c r="AI318" s="40"/>
      <c r="AJ318" s="40"/>
      <c r="AK318" s="40"/>
      <c r="AL318" s="40"/>
      <c r="AM318" s="40"/>
      <c r="AN318" s="40"/>
      <c r="AO318" s="40"/>
      <c r="AP318" s="40"/>
    </row>
    <row r="319" spans="2:42" x14ac:dyDescent="0.2">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c r="AA319" s="40"/>
      <c r="AB319" s="40"/>
      <c r="AC319" s="40"/>
      <c r="AD319" s="40"/>
      <c r="AE319" s="40"/>
      <c r="AF319" s="40"/>
      <c r="AG319" s="40"/>
      <c r="AH319" s="40"/>
      <c r="AI319" s="40"/>
      <c r="AJ319" s="40"/>
      <c r="AK319" s="40"/>
      <c r="AL319" s="40"/>
      <c r="AM319" s="40"/>
      <c r="AN319" s="40"/>
      <c r="AO319" s="40"/>
      <c r="AP319" s="40"/>
    </row>
    <row r="320" spans="2:42" x14ac:dyDescent="0.2">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c r="AA320" s="40"/>
      <c r="AB320" s="40"/>
      <c r="AC320" s="40"/>
      <c r="AD320" s="40"/>
      <c r="AE320" s="40"/>
      <c r="AF320" s="40"/>
      <c r="AG320" s="40"/>
      <c r="AH320" s="40"/>
      <c r="AI320" s="40"/>
      <c r="AJ320" s="40"/>
      <c r="AK320" s="40"/>
      <c r="AL320" s="40"/>
      <c r="AM320" s="40"/>
      <c r="AN320" s="40"/>
      <c r="AO320" s="40"/>
      <c r="AP320" s="40"/>
    </row>
    <row r="321" spans="2:42" x14ac:dyDescent="0.2">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40"/>
      <c r="AG321" s="40"/>
      <c r="AH321" s="40"/>
      <c r="AI321" s="40"/>
      <c r="AJ321" s="40"/>
      <c r="AK321" s="40"/>
      <c r="AL321" s="40"/>
      <c r="AM321" s="40"/>
      <c r="AN321" s="40"/>
      <c r="AO321" s="40"/>
      <c r="AP321" s="40"/>
    </row>
    <row r="322" spans="2:42" x14ac:dyDescent="0.2">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c r="AA322" s="40"/>
      <c r="AB322" s="40"/>
      <c r="AC322" s="40"/>
      <c r="AD322" s="40"/>
      <c r="AE322" s="40"/>
      <c r="AF322" s="40"/>
      <c r="AG322" s="40"/>
      <c r="AH322" s="40"/>
      <c r="AI322" s="40"/>
      <c r="AJ322" s="40"/>
      <c r="AK322" s="40"/>
      <c r="AL322" s="40"/>
      <c r="AM322" s="40"/>
      <c r="AN322" s="40"/>
      <c r="AO322" s="40"/>
      <c r="AP322" s="40"/>
    </row>
    <row r="323" spans="2:42" x14ac:dyDescent="0.2">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c r="AA323" s="40"/>
      <c r="AB323" s="40"/>
      <c r="AC323" s="40"/>
      <c r="AD323" s="40"/>
      <c r="AE323" s="40"/>
      <c r="AF323" s="40"/>
      <c r="AG323" s="40"/>
      <c r="AH323" s="40"/>
      <c r="AI323" s="40"/>
      <c r="AJ323" s="40"/>
      <c r="AK323" s="40"/>
      <c r="AL323" s="40"/>
      <c r="AM323" s="40"/>
      <c r="AN323" s="40"/>
      <c r="AO323" s="40"/>
      <c r="AP323" s="40"/>
    </row>
    <row r="324" spans="2:42" x14ac:dyDescent="0.2">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c r="AA324" s="40"/>
      <c r="AB324" s="40"/>
      <c r="AC324" s="40"/>
      <c r="AD324" s="40"/>
      <c r="AE324" s="40"/>
      <c r="AF324" s="40"/>
      <c r="AG324" s="40"/>
      <c r="AH324" s="40"/>
      <c r="AI324" s="40"/>
      <c r="AJ324" s="40"/>
      <c r="AK324" s="40"/>
      <c r="AL324" s="40"/>
      <c r="AM324" s="40"/>
      <c r="AN324" s="40"/>
      <c r="AO324" s="40"/>
      <c r="AP324" s="40"/>
    </row>
    <row r="325" spans="2:42" x14ac:dyDescent="0.2">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c r="AA325" s="40"/>
      <c r="AB325" s="40"/>
      <c r="AC325" s="40"/>
      <c r="AD325" s="40"/>
      <c r="AE325" s="40"/>
      <c r="AF325" s="40"/>
      <c r="AG325" s="40"/>
      <c r="AH325" s="40"/>
      <c r="AI325" s="40"/>
      <c r="AJ325" s="40"/>
      <c r="AK325" s="40"/>
      <c r="AL325" s="40"/>
      <c r="AM325" s="40"/>
      <c r="AN325" s="40"/>
      <c r="AO325" s="40"/>
      <c r="AP325" s="40"/>
    </row>
    <row r="326" spans="2:42" x14ac:dyDescent="0.2">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c r="AA326" s="40"/>
      <c r="AB326" s="40"/>
      <c r="AC326" s="40"/>
      <c r="AD326" s="40"/>
      <c r="AE326" s="40"/>
      <c r="AF326" s="40"/>
      <c r="AG326" s="40"/>
      <c r="AH326" s="40"/>
      <c r="AI326" s="40"/>
      <c r="AJ326" s="40"/>
      <c r="AK326" s="40"/>
      <c r="AL326" s="40"/>
      <c r="AM326" s="40"/>
      <c r="AN326" s="40"/>
      <c r="AO326" s="40"/>
      <c r="AP326" s="40"/>
    </row>
    <row r="327" spans="2:42" x14ac:dyDescent="0.2">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c r="AA327" s="40"/>
      <c r="AB327" s="40"/>
      <c r="AC327" s="40"/>
      <c r="AD327" s="40"/>
      <c r="AE327" s="40"/>
      <c r="AF327" s="40"/>
      <c r="AG327" s="40"/>
      <c r="AH327" s="40"/>
      <c r="AI327" s="40"/>
      <c r="AJ327" s="40"/>
      <c r="AK327" s="40"/>
      <c r="AL327" s="40"/>
      <c r="AM327" s="40"/>
      <c r="AN327" s="40"/>
      <c r="AO327" s="40"/>
      <c r="AP327" s="40"/>
    </row>
    <row r="328" spans="2:42" x14ac:dyDescent="0.2">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c r="AA328" s="40"/>
      <c r="AB328" s="40"/>
      <c r="AC328" s="40"/>
      <c r="AD328" s="40"/>
      <c r="AE328" s="40"/>
      <c r="AF328" s="40"/>
      <c r="AG328" s="40"/>
      <c r="AH328" s="40"/>
      <c r="AI328" s="40"/>
      <c r="AJ328" s="40"/>
      <c r="AK328" s="40"/>
      <c r="AL328" s="40"/>
      <c r="AM328" s="40"/>
      <c r="AN328" s="40"/>
      <c r="AO328" s="40"/>
      <c r="AP328" s="40"/>
    </row>
    <row r="329" spans="2:42" x14ac:dyDescent="0.2">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c r="AA329" s="40"/>
      <c r="AB329" s="40"/>
      <c r="AC329" s="40"/>
      <c r="AD329" s="40"/>
      <c r="AE329" s="40"/>
      <c r="AF329" s="40"/>
      <c r="AG329" s="40"/>
      <c r="AH329" s="40"/>
      <c r="AI329" s="40"/>
      <c r="AJ329" s="40"/>
      <c r="AK329" s="40"/>
      <c r="AL329" s="40"/>
      <c r="AM329" s="40"/>
      <c r="AN329" s="40"/>
      <c r="AO329" s="40"/>
      <c r="AP329" s="40"/>
    </row>
    <row r="330" spans="2:42" x14ac:dyDescent="0.2">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c r="AA330" s="40"/>
      <c r="AB330" s="40"/>
      <c r="AC330" s="40"/>
      <c r="AD330" s="40"/>
      <c r="AE330" s="40"/>
      <c r="AF330" s="40"/>
      <c r="AG330" s="40"/>
      <c r="AH330" s="40"/>
      <c r="AI330" s="40"/>
      <c r="AJ330" s="40"/>
      <c r="AK330" s="40"/>
      <c r="AL330" s="40"/>
      <c r="AM330" s="40"/>
      <c r="AN330" s="40"/>
      <c r="AO330" s="40"/>
      <c r="AP330" s="40"/>
    </row>
    <row r="331" spans="2:42" x14ac:dyDescent="0.2">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c r="AA331" s="40"/>
      <c r="AB331" s="40"/>
      <c r="AC331" s="40"/>
      <c r="AD331" s="40"/>
      <c r="AE331" s="40"/>
      <c r="AF331" s="40"/>
      <c r="AG331" s="40"/>
      <c r="AH331" s="40"/>
      <c r="AI331" s="40"/>
      <c r="AJ331" s="40"/>
      <c r="AK331" s="40"/>
      <c r="AL331" s="40"/>
      <c r="AM331" s="40"/>
      <c r="AN331" s="40"/>
      <c r="AO331" s="40"/>
      <c r="AP331" s="40"/>
    </row>
    <row r="332" spans="2:42" x14ac:dyDescent="0.2">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c r="AA332" s="40"/>
      <c r="AB332" s="40"/>
      <c r="AC332" s="40"/>
      <c r="AD332" s="40"/>
      <c r="AE332" s="40"/>
      <c r="AF332" s="40"/>
      <c r="AG332" s="40"/>
      <c r="AH332" s="40"/>
      <c r="AI332" s="40"/>
      <c r="AJ332" s="40"/>
      <c r="AK332" s="40"/>
      <c r="AL332" s="40"/>
      <c r="AM332" s="40"/>
      <c r="AN332" s="40"/>
      <c r="AO332" s="40"/>
      <c r="AP332" s="40"/>
    </row>
    <row r="333" spans="2:42" x14ac:dyDescent="0.2">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c r="AA333" s="40"/>
      <c r="AB333" s="40"/>
      <c r="AC333" s="40"/>
      <c r="AD333" s="40"/>
      <c r="AE333" s="40"/>
      <c r="AF333" s="40"/>
      <c r="AG333" s="40"/>
      <c r="AH333" s="40"/>
      <c r="AI333" s="40"/>
      <c r="AJ333" s="40"/>
      <c r="AK333" s="40"/>
      <c r="AL333" s="40"/>
      <c r="AM333" s="40"/>
      <c r="AN333" s="40"/>
      <c r="AO333" s="40"/>
      <c r="AP333" s="40"/>
    </row>
    <row r="334" spans="2:42" x14ac:dyDescent="0.2">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c r="AA334" s="40"/>
      <c r="AB334" s="40"/>
      <c r="AC334" s="40"/>
      <c r="AD334" s="40"/>
      <c r="AE334" s="40"/>
      <c r="AF334" s="40"/>
      <c r="AG334" s="40"/>
      <c r="AH334" s="40"/>
      <c r="AI334" s="40"/>
      <c r="AJ334" s="40"/>
      <c r="AK334" s="40"/>
      <c r="AL334" s="40"/>
      <c r="AM334" s="40"/>
      <c r="AN334" s="40"/>
      <c r="AO334" s="40"/>
      <c r="AP334" s="40"/>
    </row>
    <row r="335" spans="2:42" x14ac:dyDescent="0.2">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c r="AA335" s="40"/>
      <c r="AB335" s="40"/>
      <c r="AC335" s="40"/>
      <c r="AD335" s="40"/>
      <c r="AE335" s="40"/>
      <c r="AF335" s="40"/>
      <c r="AG335" s="40"/>
      <c r="AH335" s="40"/>
      <c r="AI335" s="40"/>
      <c r="AJ335" s="40"/>
      <c r="AK335" s="40"/>
      <c r="AL335" s="40"/>
      <c r="AM335" s="40"/>
      <c r="AN335" s="40"/>
      <c r="AO335" s="40"/>
      <c r="AP335" s="40"/>
    </row>
    <row r="336" spans="2:42" x14ac:dyDescent="0.2">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c r="AA336" s="40"/>
      <c r="AB336" s="40"/>
      <c r="AC336" s="40"/>
      <c r="AD336" s="40"/>
      <c r="AE336" s="40"/>
      <c r="AF336" s="40"/>
      <c r="AG336" s="40"/>
      <c r="AH336" s="40"/>
      <c r="AI336" s="40"/>
      <c r="AJ336" s="40"/>
      <c r="AK336" s="40"/>
      <c r="AL336" s="40"/>
      <c r="AM336" s="40"/>
      <c r="AN336" s="40"/>
      <c r="AO336" s="40"/>
      <c r="AP336" s="40"/>
    </row>
    <row r="337" spans="2:42" x14ac:dyDescent="0.2">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c r="AA337" s="40"/>
      <c r="AB337" s="40"/>
      <c r="AC337" s="40"/>
      <c r="AD337" s="40"/>
      <c r="AE337" s="40"/>
      <c r="AF337" s="40"/>
      <c r="AG337" s="40"/>
      <c r="AH337" s="40"/>
      <c r="AI337" s="40"/>
      <c r="AJ337" s="40"/>
      <c r="AK337" s="40"/>
      <c r="AL337" s="40"/>
      <c r="AM337" s="40"/>
      <c r="AN337" s="40"/>
      <c r="AO337" s="40"/>
      <c r="AP337" s="40"/>
    </row>
    <row r="338" spans="2:42" x14ac:dyDescent="0.2">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c r="AA338" s="40"/>
      <c r="AB338" s="40"/>
      <c r="AC338" s="40"/>
      <c r="AD338" s="40"/>
      <c r="AE338" s="40"/>
      <c r="AF338" s="40"/>
      <c r="AG338" s="40"/>
      <c r="AH338" s="40"/>
      <c r="AI338" s="40"/>
      <c r="AJ338" s="40"/>
      <c r="AK338" s="40"/>
      <c r="AL338" s="40"/>
      <c r="AM338" s="40"/>
      <c r="AN338" s="40"/>
      <c r="AO338" s="40"/>
      <c r="AP338" s="40"/>
    </row>
    <row r="339" spans="2:42" x14ac:dyDescent="0.2">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c r="AA339" s="40"/>
      <c r="AB339" s="40"/>
      <c r="AC339" s="40"/>
      <c r="AD339" s="40"/>
      <c r="AE339" s="40"/>
      <c r="AF339" s="40"/>
      <c r="AG339" s="40"/>
      <c r="AH339" s="40"/>
      <c r="AI339" s="40"/>
      <c r="AJ339" s="40"/>
      <c r="AK339" s="40"/>
      <c r="AL339" s="40"/>
      <c r="AM339" s="40"/>
      <c r="AN339" s="40"/>
      <c r="AO339" s="40"/>
      <c r="AP339" s="40"/>
    </row>
    <row r="340" spans="2:42" x14ac:dyDescent="0.2">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c r="AA340" s="40"/>
      <c r="AB340" s="40"/>
      <c r="AC340" s="40"/>
      <c r="AD340" s="40"/>
      <c r="AE340" s="40"/>
      <c r="AF340" s="40"/>
      <c r="AG340" s="40"/>
      <c r="AH340" s="40"/>
      <c r="AI340" s="40"/>
      <c r="AJ340" s="40"/>
      <c r="AK340" s="40"/>
      <c r="AL340" s="40"/>
      <c r="AM340" s="40"/>
      <c r="AN340" s="40"/>
      <c r="AO340" s="40"/>
      <c r="AP340" s="40"/>
    </row>
    <row r="341" spans="2:42" x14ac:dyDescent="0.2">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c r="AA341" s="40"/>
      <c r="AB341" s="40"/>
      <c r="AC341" s="40"/>
      <c r="AD341" s="40"/>
      <c r="AE341" s="40"/>
      <c r="AF341" s="40"/>
      <c r="AG341" s="40"/>
      <c r="AH341" s="40"/>
      <c r="AI341" s="40"/>
      <c r="AJ341" s="40"/>
      <c r="AK341" s="40"/>
      <c r="AL341" s="40"/>
      <c r="AM341" s="40"/>
      <c r="AN341" s="40"/>
      <c r="AO341" s="40"/>
      <c r="AP341" s="40"/>
    </row>
    <row r="342" spans="2:42" x14ac:dyDescent="0.2">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c r="AA342" s="40"/>
      <c r="AB342" s="40"/>
      <c r="AC342" s="40"/>
      <c r="AD342" s="40"/>
      <c r="AE342" s="40"/>
      <c r="AF342" s="40"/>
      <c r="AG342" s="40"/>
      <c r="AH342" s="40"/>
      <c r="AI342" s="40"/>
      <c r="AJ342" s="40"/>
      <c r="AK342" s="40"/>
      <c r="AL342" s="40"/>
      <c r="AM342" s="40"/>
      <c r="AN342" s="40"/>
      <c r="AO342" s="40"/>
      <c r="AP342" s="40"/>
    </row>
    <row r="343" spans="2:42" x14ac:dyDescent="0.2">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c r="AA343" s="40"/>
      <c r="AB343" s="40"/>
      <c r="AC343" s="40"/>
      <c r="AD343" s="40"/>
      <c r="AE343" s="40"/>
      <c r="AF343" s="40"/>
      <c r="AG343" s="40"/>
      <c r="AH343" s="40"/>
      <c r="AI343" s="40"/>
      <c r="AJ343" s="40"/>
      <c r="AK343" s="40"/>
      <c r="AL343" s="40"/>
      <c r="AM343" s="40"/>
      <c r="AN343" s="40"/>
      <c r="AO343" s="40"/>
      <c r="AP343" s="40"/>
    </row>
    <row r="344" spans="2:42" x14ac:dyDescent="0.2">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c r="AA344" s="40"/>
      <c r="AB344" s="40"/>
      <c r="AC344" s="40"/>
      <c r="AD344" s="40"/>
      <c r="AE344" s="40"/>
      <c r="AF344" s="40"/>
      <c r="AG344" s="40"/>
      <c r="AH344" s="40"/>
      <c r="AI344" s="40"/>
      <c r="AJ344" s="40"/>
      <c r="AK344" s="40"/>
      <c r="AL344" s="40"/>
      <c r="AM344" s="40"/>
      <c r="AN344" s="40"/>
      <c r="AO344" s="40"/>
      <c r="AP344" s="40"/>
    </row>
    <row r="345" spans="2:42" x14ac:dyDescent="0.2">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c r="AA345" s="40"/>
      <c r="AB345" s="40"/>
      <c r="AC345" s="40"/>
      <c r="AD345" s="40"/>
      <c r="AE345" s="40"/>
      <c r="AF345" s="40"/>
      <c r="AG345" s="40"/>
      <c r="AH345" s="40"/>
      <c r="AI345" s="40"/>
      <c r="AJ345" s="40"/>
      <c r="AK345" s="40"/>
      <c r="AL345" s="40"/>
      <c r="AM345" s="40"/>
      <c r="AN345" s="40"/>
      <c r="AO345" s="40"/>
      <c r="AP345" s="40"/>
    </row>
    <row r="346" spans="2:42" x14ac:dyDescent="0.2">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c r="AA346" s="40"/>
      <c r="AB346" s="40"/>
      <c r="AC346" s="40"/>
      <c r="AD346" s="40"/>
      <c r="AE346" s="40"/>
      <c r="AF346" s="40"/>
      <c r="AG346" s="40"/>
      <c r="AH346" s="40"/>
      <c r="AI346" s="40"/>
      <c r="AJ346" s="40"/>
      <c r="AK346" s="40"/>
      <c r="AL346" s="40"/>
      <c r="AM346" s="40"/>
      <c r="AN346" s="40"/>
      <c r="AO346" s="40"/>
      <c r="AP346" s="40"/>
    </row>
    <row r="347" spans="2:42" x14ac:dyDescent="0.2">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c r="AA347" s="40"/>
      <c r="AB347" s="40"/>
      <c r="AC347" s="40"/>
      <c r="AD347" s="40"/>
      <c r="AE347" s="40"/>
      <c r="AF347" s="40"/>
      <c r="AG347" s="40"/>
      <c r="AH347" s="40"/>
      <c r="AI347" s="40"/>
      <c r="AJ347" s="40"/>
      <c r="AK347" s="40"/>
      <c r="AL347" s="40"/>
      <c r="AM347" s="40"/>
      <c r="AN347" s="40"/>
      <c r="AO347" s="40"/>
      <c r="AP347" s="40"/>
    </row>
    <row r="348" spans="2:42" x14ac:dyDescent="0.2">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c r="AA348" s="40"/>
      <c r="AB348" s="40"/>
      <c r="AC348" s="40"/>
      <c r="AD348" s="40"/>
      <c r="AE348" s="40"/>
      <c r="AF348" s="40"/>
      <c r="AG348" s="40"/>
      <c r="AH348" s="40"/>
      <c r="AI348" s="40"/>
      <c r="AJ348" s="40"/>
      <c r="AK348" s="40"/>
      <c r="AL348" s="40"/>
      <c r="AM348" s="40"/>
      <c r="AN348" s="40"/>
      <c r="AO348" s="40"/>
      <c r="AP348" s="40"/>
    </row>
    <row r="349" spans="2:42" x14ac:dyDescent="0.2">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c r="AA349" s="40"/>
      <c r="AB349" s="40"/>
      <c r="AC349" s="40"/>
      <c r="AD349" s="40"/>
      <c r="AE349" s="40"/>
      <c r="AF349" s="40"/>
      <c r="AG349" s="40"/>
      <c r="AH349" s="40"/>
      <c r="AI349" s="40"/>
      <c r="AJ349" s="40"/>
      <c r="AK349" s="40"/>
      <c r="AL349" s="40"/>
      <c r="AM349" s="40"/>
      <c r="AN349" s="40"/>
      <c r="AO349" s="40"/>
      <c r="AP349" s="40"/>
    </row>
    <row r="350" spans="2:42" x14ac:dyDescent="0.2">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c r="AA350" s="40"/>
      <c r="AB350" s="40"/>
      <c r="AC350" s="40"/>
      <c r="AD350" s="40"/>
      <c r="AE350" s="40"/>
      <c r="AF350" s="40"/>
      <c r="AG350" s="40"/>
      <c r="AH350" s="40"/>
      <c r="AI350" s="40"/>
      <c r="AJ350" s="40"/>
      <c r="AK350" s="40"/>
      <c r="AL350" s="40"/>
      <c r="AM350" s="40"/>
      <c r="AN350" s="40"/>
      <c r="AO350" s="40"/>
      <c r="AP350" s="40"/>
    </row>
    <row r="351" spans="2:42" x14ac:dyDescent="0.2">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c r="AA351" s="40"/>
      <c r="AB351" s="40"/>
      <c r="AC351" s="40"/>
      <c r="AD351" s="40"/>
      <c r="AE351" s="40"/>
      <c r="AF351" s="40"/>
      <c r="AG351" s="40"/>
      <c r="AH351" s="40"/>
      <c r="AI351" s="40"/>
      <c r="AJ351" s="40"/>
      <c r="AK351" s="40"/>
      <c r="AL351" s="40"/>
      <c r="AM351" s="40"/>
      <c r="AN351" s="40"/>
      <c r="AO351" s="40"/>
      <c r="AP351" s="40"/>
    </row>
    <row r="352" spans="2:42" x14ac:dyDescent="0.2">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c r="AA352" s="40"/>
      <c r="AB352" s="40"/>
      <c r="AC352" s="40"/>
      <c r="AD352" s="40"/>
      <c r="AE352" s="40"/>
      <c r="AF352" s="40"/>
      <c r="AG352" s="40"/>
      <c r="AH352" s="40"/>
      <c r="AI352" s="40"/>
      <c r="AJ352" s="40"/>
      <c r="AK352" s="40"/>
      <c r="AL352" s="40"/>
      <c r="AM352" s="40"/>
      <c r="AN352" s="40"/>
      <c r="AO352" s="40"/>
      <c r="AP352" s="40"/>
    </row>
    <row r="353" spans="2:42" x14ac:dyDescent="0.2">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c r="AA353" s="40"/>
      <c r="AB353" s="40"/>
      <c r="AC353" s="40"/>
      <c r="AD353" s="40"/>
      <c r="AE353" s="40"/>
      <c r="AF353" s="40"/>
      <c r="AG353" s="40"/>
      <c r="AH353" s="40"/>
      <c r="AI353" s="40"/>
      <c r="AJ353" s="40"/>
      <c r="AK353" s="40"/>
      <c r="AL353" s="40"/>
      <c r="AM353" s="40"/>
      <c r="AN353" s="40"/>
      <c r="AO353" s="40"/>
      <c r="AP353" s="40"/>
    </row>
    <row r="354" spans="2:42" x14ac:dyDescent="0.2">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c r="AA354" s="40"/>
      <c r="AB354" s="40"/>
      <c r="AC354" s="40"/>
      <c r="AD354" s="40"/>
      <c r="AE354" s="40"/>
      <c r="AF354" s="40"/>
      <c r="AG354" s="40"/>
      <c r="AH354" s="40"/>
      <c r="AI354" s="40"/>
      <c r="AJ354" s="40"/>
      <c r="AK354" s="40"/>
      <c r="AL354" s="40"/>
      <c r="AM354" s="40"/>
      <c r="AN354" s="40"/>
      <c r="AO354" s="40"/>
      <c r="AP354" s="40"/>
    </row>
    <row r="355" spans="2:42" x14ac:dyDescent="0.2">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c r="AA355" s="40"/>
      <c r="AB355" s="40"/>
      <c r="AC355" s="40"/>
      <c r="AD355" s="40"/>
      <c r="AE355" s="40"/>
      <c r="AF355" s="40"/>
      <c r="AG355" s="40"/>
      <c r="AH355" s="40"/>
      <c r="AI355" s="40"/>
      <c r="AJ355" s="40"/>
      <c r="AK355" s="40"/>
      <c r="AL355" s="40"/>
      <c r="AM355" s="40"/>
      <c r="AN355" s="40"/>
      <c r="AO355" s="40"/>
      <c r="AP355" s="40"/>
    </row>
    <row r="356" spans="2:42" x14ac:dyDescent="0.2">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c r="AA356" s="40"/>
      <c r="AB356" s="40"/>
      <c r="AC356" s="40"/>
      <c r="AD356" s="40"/>
      <c r="AE356" s="40"/>
      <c r="AF356" s="40"/>
      <c r="AG356" s="40"/>
      <c r="AH356" s="40"/>
      <c r="AI356" s="40"/>
      <c r="AJ356" s="40"/>
      <c r="AK356" s="40"/>
      <c r="AL356" s="40"/>
      <c r="AM356" s="40"/>
      <c r="AN356" s="40"/>
      <c r="AO356" s="40"/>
      <c r="AP356" s="40"/>
    </row>
    <row r="357" spans="2:42" x14ac:dyDescent="0.2">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c r="AA357" s="40"/>
      <c r="AB357" s="40"/>
      <c r="AC357" s="40"/>
      <c r="AD357" s="40"/>
      <c r="AE357" s="40"/>
      <c r="AF357" s="40"/>
      <c r="AG357" s="40"/>
      <c r="AH357" s="40"/>
      <c r="AI357" s="40"/>
      <c r="AJ357" s="40"/>
      <c r="AK357" s="40"/>
      <c r="AL357" s="40"/>
      <c r="AM357" s="40"/>
      <c r="AN357" s="40"/>
      <c r="AO357" s="40"/>
      <c r="AP357" s="40"/>
    </row>
    <row r="358" spans="2:42" x14ac:dyDescent="0.2">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c r="AA358" s="40"/>
      <c r="AB358" s="40"/>
      <c r="AC358" s="40"/>
      <c r="AD358" s="40"/>
      <c r="AE358" s="40"/>
      <c r="AF358" s="40"/>
      <c r="AG358" s="40"/>
      <c r="AH358" s="40"/>
      <c r="AI358" s="40"/>
      <c r="AJ358" s="40"/>
      <c r="AK358" s="40"/>
      <c r="AL358" s="40"/>
      <c r="AM358" s="40"/>
      <c r="AN358" s="40"/>
      <c r="AO358" s="40"/>
      <c r="AP358" s="40"/>
    </row>
    <row r="359" spans="2:42" x14ac:dyDescent="0.2">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c r="AA359" s="40"/>
      <c r="AB359" s="40"/>
      <c r="AC359" s="40"/>
      <c r="AD359" s="40"/>
      <c r="AE359" s="40"/>
      <c r="AF359" s="40"/>
      <c r="AG359" s="40"/>
      <c r="AH359" s="40"/>
      <c r="AI359" s="40"/>
      <c r="AJ359" s="40"/>
      <c r="AK359" s="40"/>
      <c r="AL359" s="40"/>
      <c r="AM359" s="40"/>
      <c r="AN359" s="40"/>
      <c r="AO359" s="40"/>
      <c r="AP359" s="40"/>
    </row>
    <row r="360" spans="2:42" x14ac:dyDescent="0.2">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c r="AA360" s="40"/>
      <c r="AB360" s="40"/>
      <c r="AC360" s="40"/>
      <c r="AD360" s="40"/>
      <c r="AE360" s="40"/>
      <c r="AF360" s="40"/>
      <c r="AG360" s="40"/>
      <c r="AH360" s="40"/>
      <c r="AI360" s="40"/>
      <c r="AJ360" s="40"/>
      <c r="AK360" s="40"/>
      <c r="AL360" s="40"/>
      <c r="AM360" s="40"/>
      <c r="AN360" s="40"/>
      <c r="AO360" s="40"/>
      <c r="AP360" s="40"/>
    </row>
    <row r="361" spans="2:42" x14ac:dyDescent="0.2">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c r="AA361" s="40"/>
      <c r="AB361" s="40"/>
      <c r="AC361" s="40"/>
      <c r="AD361" s="40"/>
      <c r="AE361" s="40"/>
      <c r="AF361" s="40"/>
      <c r="AG361" s="40"/>
      <c r="AH361" s="40"/>
      <c r="AI361" s="40"/>
      <c r="AJ361" s="40"/>
      <c r="AK361" s="40"/>
      <c r="AL361" s="40"/>
      <c r="AM361" s="40"/>
      <c r="AN361" s="40"/>
      <c r="AO361" s="40"/>
      <c r="AP361" s="40"/>
    </row>
    <row r="362" spans="2:42" x14ac:dyDescent="0.2">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c r="AA362" s="40"/>
      <c r="AB362" s="40"/>
      <c r="AC362" s="40"/>
      <c r="AD362" s="40"/>
      <c r="AE362" s="40"/>
      <c r="AF362" s="40"/>
      <c r="AG362" s="40"/>
      <c r="AH362" s="40"/>
      <c r="AI362" s="40"/>
      <c r="AJ362" s="40"/>
      <c r="AK362" s="40"/>
      <c r="AL362" s="40"/>
      <c r="AM362" s="40"/>
      <c r="AN362" s="40"/>
      <c r="AO362" s="40"/>
      <c r="AP362" s="40"/>
    </row>
    <row r="363" spans="2:42" x14ac:dyDescent="0.2">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c r="AA363" s="40"/>
      <c r="AB363" s="40"/>
      <c r="AC363" s="40"/>
      <c r="AD363" s="40"/>
      <c r="AE363" s="40"/>
      <c r="AF363" s="40"/>
      <c r="AG363" s="40"/>
      <c r="AH363" s="40"/>
      <c r="AI363" s="40"/>
      <c r="AJ363" s="40"/>
      <c r="AK363" s="40"/>
      <c r="AL363" s="40"/>
      <c r="AM363" s="40"/>
      <c r="AN363" s="40"/>
      <c r="AO363" s="40"/>
      <c r="AP363" s="40"/>
    </row>
    <row r="364" spans="2:42" x14ac:dyDescent="0.2">
      <c r="B364" s="40"/>
      <c r="C364" s="40"/>
      <c r="D364" s="40"/>
      <c r="E364" s="40"/>
      <c r="F364" s="40"/>
      <c r="G364" s="40"/>
      <c r="H364" s="40"/>
      <c r="I364" s="40"/>
      <c r="J364" s="40"/>
      <c r="K364" s="40"/>
      <c r="L364" s="40"/>
      <c r="M364" s="40"/>
      <c r="N364" s="40"/>
      <c r="O364" s="40"/>
      <c r="P364" s="40"/>
      <c r="Q364" s="40"/>
      <c r="R364" s="40"/>
      <c r="S364" s="40"/>
      <c r="T364" s="40"/>
      <c r="U364" s="40"/>
      <c r="V364" s="40"/>
      <c r="W364" s="40"/>
      <c r="X364" s="40"/>
      <c r="Y364" s="40"/>
      <c r="Z364" s="40"/>
      <c r="AA364" s="40"/>
      <c r="AB364" s="40"/>
      <c r="AC364" s="40"/>
      <c r="AD364" s="40"/>
      <c r="AE364" s="40"/>
      <c r="AF364" s="40"/>
      <c r="AG364" s="40"/>
      <c r="AH364" s="40"/>
      <c r="AI364" s="40"/>
      <c r="AJ364" s="40"/>
      <c r="AK364" s="40"/>
      <c r="AL364" s="40"/>
      <c r="AM364" s="40"/>
      <c r="AN364" s="40"/>
      <c r="AO364" s="40"/>
      <c r="AP364" s="40"/>
    </row>
    <row r="365" spans="2:42" x14ac:dyDescent="0.2">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c r="AA365" s="40"/>
      <c r="AB365" s="40"/>
      <c r="AC365" s="40"/>
      <c r="AD365" s="40"/>
      <c r="AE365" s="40"/>
      <c r="AF365" s="40"/>
      <c r="AG365" s="40"/>
      <c r="AH365" s="40"/>
      <c r="AI365" s="40"/>
      <c r="AJ365" s="40"/>
      <c r="AK365" s="40"/>
      <c r="AL365" s="40"/>
      <c r="AM365" s="40"/>
      <c r="AN365" s="40"/>
      <c r="AO365" s="40"/>
      <c r="AP365" s="40"/>
    </row>
    <row r="366" spans="2:42" x14ac:dyDescent="0.2">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0"/>
      <c r="Z366" s="40"/>
      <c r="AA366" s="40"/>
      <c r="AB366" s="40"/>
      <c r="AC366" s="40"/>
      <c r="AD366" s="40"/>
      <c r="AE366" s="40"/>
      <c r="AF366" s="40"/>
      <c r="AG366" s="40"/>
      <c r="AH366" s="40"/>
      <c r="AI366" s="40"/>
      <c r="AJ366" s="40"/>
      <c r="AK366" s="40"/>
      <c r="AL366" s="40"/>
      <c r="AM366" s="40"/>
      <c r="AN366" s="40"/>
      <c r="AO366" s="40"/>
      <c r="AP366" s="40"/>
    </row>
    <row r="367" spans="2:42" x14ac:dyDescent="0.2">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c r="AA367" s="40"/>
      <c r="AB367" s="40"/>
      <c r="AC367" s="40"/>
      <c r="AD367" s="40"/>
      <c r="AE367" s="40"/>
      <c r="AF367" s="40"/>
      <c r="AG367" s="40"/>
      <c r="AH367" s="40"/>
      <c r="AI367" s="40"/>
      <c r="AJ367" s="40"/>
      <c r="AK367" s="40"/>
      <c r="AL367" s="40"/>
      <c r="AM367" s="40"/>
      <c r="AN367" s="40"/>
      <c r="AO367" s="40"/>
      <c r="AP367" s="40"/>
    </row>
    <row r="368" spans="2:42" x14ac:dyDescent="0.2">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c r="AA368" s="40"/>
      <c r="AB368" s="40"/>
      <c r="AC368" s="40"/>
      <c r="AD368" s="40"/>
      <c r="AE368" s="40"/>
      <c r="AF368" s="40"/>
      <c r="AG368" s="40"/>
      <c r="AH368" s="40"/>
      <c r="AI368" s="40"/>
      <c r="AJ368" s="40"/>
      <c r="AK368" s="40"/>
      <c r="AL368" s="40"/>
      <c r="AM368" s="40"/>
      <c r="AN368" s="40"/>
      <c r="AO368" s="40"/>
      <c r="AP368" s="40"/>
    </row>
    <row r="369" spans="2:42" x14ac:dyDescent="0.2">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c r="AA369" s="40"/>
      <c r="AB369" s="40"/>
      <c r="AC369" s="40"/>
      <c r="AD369" s="40"/>
      <c r="AE369" s="40"/>
      <c r="AF369" s="40"/>
      <c r="AG369" s="40"/>
      <c r="AH369" s="40"/>
      <c r="AI369" s="40"/>
      <c r="AJ369" s="40"/>
      <c r="AK369" s="40"/>
      <c r="AL369" s="40"/>
      <c r="AM369" s="40"/>
      <c r="AN369" s="40"/>
      <c r="AO369" s="40"/>
      <c r="AP369" s="40"/>
    </row>
    <row r="370" spans="2:42" x14ac:dyDescent="0.2">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c r="AA370" s="40"/>
      <c r="AB370" s="40"/>
      <c r="AC370" s="40"/>
      <c r="AD370" s="40"/>
      <c r="AE370" s="40"/>
      <c r="AF370" s="40"/>
      <c r="AG370" s="40"/>
      <c r="AH370" s="40"/>
      <c r="AI370" s="40"/>
      <c r="AJ370" s="40"/>
      <c r="AK370" s="40"/>
      <c r="AL370" s="40"/>
      <c r="AM370" s="40"/>
      <c r="AN370" s="40"/>
      <c r="AO370" s="40"/>
      <c r="AP370" s="40"/>
    </row>
    <row r="371" spans="2:42" x14ac:dyDescent="0.2">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c r="AA371" s="40"/>
      <c r="AB371" s="40"/>
      <c r="AC371" s="40"/>
      <c r="AD371" s="40"/>
      <c r="AE371" s="40"/>
      <c r="AF371" s="40"/>
      <c r="AG371" s="40"/>
      <c r="AH371" s="40"/>
      <c r="AI371" s="40"/>
      <c r="AJ371" s="40"/>
      <c r="AK371" s="40"/>
      <c r="AL371" s="40"/>
      <c r="AM371" s="40"/>
      <c r="AN371" s="40"/>
      <c r="AO371" s="40"/>
      <c r="AP371" s="40"/>
    </row>
    <row r="372" spans="2:42" x14ac:dyDescent="0.2">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c r="AA372" s="40"/>
      <c r="AB372" s="40"/>
      <c r="AC372" s="40"/>
      <c r="AD372" s="40"/>
      <c r="AE372" s="40"/>
      <c r="AF372" s="40"/>
      <c r="AG372" s="40"/>
      <c r="AH372" s="40"/>
      <c r="AI372" s="40"/>
      <c r="AJ372" s="40"/>
      <c r="AK372" s="40"/>
      <c r="AL372" s="40"/>
      <c r="AM372" s="40"/>
      <c r="AN372" s="40"/>
      <c r="AO372" s="40"/>
      <c r="AP372" s="40"/>
    </row>
    <row r="373" spans="2:42" x14ac:dyDescent="0.2">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c r="AA373" s="40"/>
      <c r="AB373" s="40"/>
      <c r="AC373" s="40"/>
      <c r="AD373" s="40"/>
      <c r="AE373" s="40"/>
      <c r="AF373" s="40"/>
      <c r="AG373" s="40"/>
      <c r="AH373" s="40"/>
      <c r="AI373" s="40"/>
      <c r="AJ373" s="40"/>
      <c r="AK373" s="40"/>
      <c r="AL373" s="40"/>
      <c r="AM373" s="40"/>
      <c r="AN373" s="40"/>
      <c r="AO373" s="40"/>
      <c r="AP373" s="40"/>
    </row>
    <row r="374" spans="2:42" x14ac:dyDescent="0.2">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c r="AA374" s="40"/>
      <c r="AB374" s="40"/>
      <c r="AC374" s="40"/>
      <c r="AD374" s="40"/>
      <c r="AE374" s="40"/>
      <c r="AF374" s="40"/>
      <c r="AG374" s="40"/>
      <c r="AH374" s="40"/>
      <c r="AI374" s="40"/>
      <c r="AJ374" s="40"/>
      <c r="AK374" s="40"/>
      <c r="AL374" s="40"/>
      <c r="AM374" s="40"/>
      <c r="AN374" s="40"/>
      <c r="AO374" s="40"/>
      <c r="AP374" s="40"/>
    </row>
    <row r="375" spans="2:42" x14ac:dyDescent="0.2">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c r="AA375" s="40"/>
      <c r="AB375" s="40"/>
      <c r="AC375" s="40"/>
      <c r="AD375" s="40"/>
      <c r="AE375" s="40"/>
      <c r="AF375" s="40"/>
      <c r="AG375" s="40"/>
      <c r="AH375" s="40"/>
      <c r="AI375" s="40"/>
      <c r="AJ375" s="40"/>
      <c r="AK375" s="40"/>
      <c r="AL375" s="40"/>
      <c r="AM375" s="40"/>
      <c r="AN375" s="40"/>
      <c r="AO375" s="40"/>
      <c r="AP375" s="40"/>
    </row>
    <row r="376" spans="2:42" x14ac:dyDescent="0.2">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c r="AA376" s="40"/>
      <c r="AB376" s="40"/>
      <c r="AC376" s="40"/>
      <c r="AD376" s="40"/>
      <c r="AE376" s="40"/>
      <c r="AF376" s="40"/>
      <c r="AG376" s="40"/>
      <c r="AH376" s="40"/>
      <c r="AI376" s="40"/>
      <c r="AJ376" s="40"/>
      <c r="AK376" s="40"/>
      <c r="AL376" s="40"/>
      <c r="AM376" s="40"/>
      <c r="AN376" s="40"/>
      <c r="AO376" s="40"/>
      <c r="AP376" s="40"/>
    </row>
    <row r="377" spans="2:42" x14ac:dyDescent="0.2">
      <c r="B377" s="40"/>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c r="AA377" s="40"/>
      <c r="AB377" s="40"/>
      <c r="AC377" s="40"/>
      <c r="AD377" s="40"/>
      <c r="AE377" s="40"/>
      <c r="AF377" s="40"/>
      <c r="AG377" s="40"/>
      <c r="AH377" s="40"/>
      <c r="AI377" s="40"/>
      <c r="AJ377" s="40"/>
      <c r="AK377" s="40"/>
      <c r="AL377" s="40"/>
      <c r="AM377" s="40"/>
      <c r="AN377" s="40"/>
      <c r="AO377" s="40"/>
      <c r="AP377" s="40"/>
    </row>
    <row r="378" spans="2:42" x14ac:dyDescent="0.2">
      <c r="B378" s="40"/>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c r="AA378" s="40"/>
      <c r="AB378" s="40"/>
      <c r="AC378" s="40"/>
      <c r="AD378" s="40"/>
      <c r="AE378" s="40"/>
      <c r="AF378" s="40"/>
      <c r="AG378" s="40"/>
      <c r="AH378" s="40"/>
      <c r="AI378" s="40"/>
      <c r="AJ378" s="40"/>
      <c r="AK378" s="40"/>
      <c r="AL378" s="40"/>
      <c r="AM378" s="40"/>
      <c r="AN378" s="40"/>
      <c r="AO378" s="40"/>
      <c r="AP378" s="40"/>
    </row>
    <row r="379" spans="2:42" x14ac:dyDescent="0.2">
      <c r="B379" s="40"/>
      <c r="C379" s="40"/>
      <c r="D379" s="40"/>
      <c r="E379" s="40"/>
      <c r="F379" s="40"/>
      <c r="G379" s="40"/>
      <c r="H379" s="40"/>
      <c r="I379" s="40"/>
      <c r="J379" s="40"/>
      <c r="K379" s="40"/>
      <c r="L379" s="40"/>
      <c r="M379" s="40"/>
      <c r="N379" s="40"/>
      <c r="O379" s="40"/>
      <c r="P379" s="40"/>
      <c r="Q379" s="40"/>
      <c r="R379" s="40"/>
      <c r="S379" s="40"/>
      <c r="T379" s="40"/>
      <c r="U379" s="40"/>
      <c r="V379" s="40"/>
      <c r="W379" s="40"/>
      <c r="X379" s="40"/>
      <c r="Y379" s="40"/>
      <c r="Z379" s="40"/>
      <c r="AA379" s="40"/>
      <c r="AB379" s="40"/>
      <c r="AC379" s="40"/>
      <c r="AD379" s="40"/>
      <c r="AE379" s="40"/>
      <c r="AF379" s="40"/>
      <c r="AG379" s="40"/>
      <c r="AH379" s="40"/>
      <c r="AI379" s="40"/>
      <c r="AJ379" s="40"/>
      <c r="AK379" s="40"/>
      <c r="AL379" s="40"/>
      <c r="AM379" s="40"/>
      <c r="AN379" s="40"/>
      <c r="AO379" s="40"/>
      <c r="AP379" s="40"/>
    </row>
    <row r="380" spans="2:42" x14ac:dyDescent="0.2">
      <c r="B380" s="40"/>
      <c r="C380" s="40"/>
      <c r="D380" s="40"/>
      <c r="E380" s="40"/>
      <c r="F380" s="40"/>
      <c r="G380" s="40"/>
      <c r="H380" s="40"/>
      <c r="I380" s="40"/>
      <c r="J380" s="40"/>
      <c r="K380" s="40"/>
      <c r="L380" s="40"/>
      <c r="M380" s="40"/>
      <c r="N380" s="40"/>
      <c r="O380" s="40"/>
      <c r="P380" s="40"/>
      <c r="Q380" s="40"/>
      <c r="R380" s="40"/>
      <c r="S380" s="40"/>
      <c r="T380" s="40"/>
      <c r="U380" s="40"/>
      <c r="V380" s="40"/>
      <c r="W380" s="40"/>
      <c r="X380" s="40"/>
      <c r="Y380" s="40"/>
      <c r="Z380" s="40"/>
      <c r="AA380" s="40"/>
      <c r="AB380" s="40"/>
      <c r="AC380" s="40"/>
      <c r="AD380" s="40"/>
      <c r="AE380" s="40"/>
      <c r="AF380" s="40"/>
      <c r="AG380" s="40"/>
      <c r="AH380" s="40"/>
      <c r="AI380" s="40"/>
      <c r="AJ380" s="40"/>
      <c r="AK380" s="40"/>
      <c r="AL380" s="40"/>
      <c r="AM380" s="40"/>
      <c r="AN380" s="40"/>
      <c r="AO380" s="40"/>
      <c r="AP380" s="40"/>
    </row>
    <row r="381" spans="2:42" x14ac:dyDescent="0.2">
      <c r="B381" s="40"/>
      <c r="C381" s="40"/>
      <c r="D381" s="40"/>
      <c r="E381" s="40"/>
      <c r="F381" s="40"/>
      <c r="G381" s="40"/>
      <c r="H381" s="40"/>
      <c r="I381" s="40"/>
      <c r="J381" s="40"/>
      <c r="K381" s="40"/>
      <c r="L381" s="40"/>
      <c r="M381" s="40"/>
      <c r="N381" s="40"/>
      <c r="O381" s="40"/>
      <c r="P381" s="40"/>
      <c r="Q381" s="40"/>
      <c r="R381" s="40"/>
      <c r="S381" s="40"/>
      <c r="T381" s="40"/>
      <c r="U381" s="40"/>
      <c r="V381" s="40"/>
      <c r="W381" s="40"/>
      <c r="X381" s="40"/>
      <c r="Y381" s="40"/>
      <c r="Z381" s="40"/>
      <c r="AA381" s="40"/>
      <c r="AB381" s="40"/>
      <c r="AC381" s="40"/>
      <c r="AD381" s="40"/>
      <c r="AE381" s="40"/>
      <c r="AF381" s="40"/>
      <c r="AG381" s="40"/>
      <c r="AH381" s="40"/>
      <c r="AI381" s="40"/>
      <c r="AJ381" s="40"/>
      <c r="AK381" s="40"/>
      <c r="AL381" s="40"/>
      <c r="AM381" s="40"/>
      <c r="AN381" s="40"/>
      <c r="AO381" s="40"/>
      <c r="AP381" s="40"/>
    </row>
    <row r="382" spans="2:42" x14ac:dyDescent="0.2">
      <c r="B382" s="40"/>
      <c r="C382" s="40"/>
      <c r="D382" s="40"/>
      <c r="E382" s="40"/>
      <c r="F382" s="40"/>
      <c r="G382" s="40"/>
      <c r="H382" s="40"/>
      <c r="I382" s="40"/>
      <c r="J382" s="40"/>
      <c r="K382" s="40"/>
      <c r="L382" s="40"/>
      <c r="M382" s="40"/>
      <c r="N382" s="40"/>
      <c r="O382" s="40"/>
      <c r="P382" s="40"/>
      <c r="Q382" s="40"/>
      <c r="R382" s="40"/>
      <c r="S382" s="40"/>
      <c r="T382" s="40"/>
      <c r="U382" s="40"/>
      <c r="V382" s="40"/>
      <c r="W382" s="40"/>
      <c r="X382" s="40"/>
      <c r="Y382" s="40"/>
      <c r="Z382" s="40"/>
      <c r="AA382" s="40"/>
      <c r="AB382" s="40"/>
      <c r="AC382" s="40"/>
      <c r="AD382" s="40"/>
      <c r="AE382" s="40"/>
      <c r="AF382" s="40"/>
      <c r="AG382" s="40"/>
      <c r="AH382" s="40"/>
      <c r="AI382" s="40"/>
      <c r="AJ382" s="40"/>
      <c r="AK382" s="40"/>
      <c r="AL382" s="40"/>
      <c r="AM382" s="40"/>
      <c r="AN382" s="40"/>
      <c r="AO382" s="40"/>
      <c r="AP382" s="40"/>
    </row>
    <row r="383" spans="2:42" x14ac:dyDescent="0.2">
      <c r="B383" s="40"/>
      <c r="C383" s="40"/>
      <c r="D383" s="40"/>
      <c r="E383" s="40"/>
      <c r="F383" s="40"/>
      <c r="G383" s="40"/>
      <c r="H383" s="40"/>
      <c r="I383" s="40"/>
      <c r="J383" s="40"/>
      <c r="K383" s="40"/>
      <c r="L383" s="40"/>
      <c r="M383" s="40"/>
      <c r="N383" s="40"/>
      <c r="O383" s="40"/>
      <c r="P383" s="40"/>
      <c r="Q383" s="40"/>
      <c r="R383" s="40"/>
      <c r="S383" s="40"/>
      <c r="T383" s="40"/>
      <c r="U383" s="40"/>
      <c r="V383" s="40"/>
      <c r="W383" s="40"/>
      <c r="X383" s="40"/>
      <c r="Y383" s="40"/>
      <c r="Z383" s="40"/>
      <c r="AA383" s="40"/>
      <c r="AB383" s="40"/>
      <c r="AC383" s="40"/>
      <c r="AD383" s="40"/>
      <c r="AE383" s="40"/>
      <c r="AF383" s="40"/>
      <c r="AG383" s="40"/>
      <c r="AH383" s="40"/>
      <c r="AI383" s="40"/>
      <c r="AJ383" s="40"/>
      <c r="AK383" s="40"/>
      <c r="AL383" s="40"/>
      <c r="AM383" s="40"/>
      <c r="AN383" s="40"/>
      <c r="AO383" s="40"/>
      <c r="AP383" s="40"/>
    </row>
    <row r="384" spans="2:42" x14ac:dyDescent="0.2">
      <c r="B384" s="40"/>
      <c r="C384" s="40"/>
      <c r="D384" s="40"/>
      <c r="E384" s="40"/>
      <c r="F384" s="40"/>
      <c r="G384" s="40"/>
      <c r="H384" s="40"/>
      <c r="I384" s="40"/>
      <c r="J384" s="40"/>
      <c r="K384" s="40"/>
      <c r="L384" s="40"/>
      <c r="M384" s="40"/>
      <c r="N384" s="40"/>
      <c r="O384" s="40"/>
      <c r="P384" s="40"/>
      <c r="Q384" s="40"/>
      <c r="R384" s="40"/>
      <c r="S384" s="40"/>
      <c r="T384" s="40"/>
      <c r="U384" s="40"/>
      <c r="V384" s="40"/>
      <c r="W384" s="40"/>
      <c r="X384" s="40"/>
      <c r="Y384" s="40"/>
      <c r="Z384" s="40"/>
      <c r="AA384" s="40"/>
      <c r="AB384" s="40"/>
      <c r="AC384" s="40"/>
      <c r="AD384" s="40"/>
      <c r="AE384" s="40"/>
      <c r="AF384" s="40"/>
      <c r="AG384" s="40"/>
      <c r="AH384" s="40"/>
      <c r="AI384" s="40"/>
      <c r="AJ384" s="40"/>
      <c r="AK384" s="40"/>
      <c r="AL384" s="40"/>
      <c r="AM384" s="40"/>
      <c r="AN384" s="40"/>
      <c r="AO384" s="40"/>
      <c r="AP384" s="40"/>
    </row>
    <row r="385" spans="2:42" x14ac:dyDescent="0.2">
      <c r="B385" s="40"/>
      <c r="C385" s="40"/>
      <c r="D385" s="40"/>
      <c r="E385" s="40"/>
      <c r="F385" s="40"/>
      <c r="G385" s="40"/>
      <c r="H385" s="40"/>
      <c r="I385" s="40"/>
      <c r="J385" s="40"/>
      <c r="K385" s="40"/>
      <c r="L385" s="40"/>
      <c r="M385" s="40"/>
      <c r="N385" s="40"/>
      <c r="O385" s="40"/>
      <c r="P385" s="40"/>
      <c r="Q385" s="40"/>
      <c r="R385" s="40"/>
      <c r="S385" s="40"/>
      <c r="T385" s="40"/>
      <c r="U385" s="40"/>
      <c r="V385" s="40"/>
      <c r="W385" s="40"/>
      <c r="X385" s="40"/>
      <c r="Y385" s="40"/>
      <c r="Z385" s="40"/>
      <c r="AA385" s="40"/>
      <c r="AB385" s="40"/>
      <c r="AC385" s="40"/>
      <c r="AD385" s="40"/>
      <c r="AE385" s="40"/>
      <c r="AF385" s="40"/>
      <c r="AG385" s="40"/>
      <c r="AH385" s="40"/>
      <c r="AI385" s="40"/>
      <c r="AJ385" s="40"/>
      <c r="AK385" s="40"/>
      <c r="AL385" s="40"/>
      <c r="AM385" s="40"/>
      <c r="AN385" s="40"/>
      <c r="AO385" s="40"/>
      <c r="AP385" s="40"/>
    </row>
    <row r="386" spans="2:42" x14ac:dyDescent="0.2">
      <c r="B386" s="40"/>
      <c r="C386" s="40"/>
      <c r="D386" s="40"/>
      <c r="E386" s="40"/>
      <c r="F386" s="40"/>
      <c r="G386" s="40"/>
      <c r="H386" s="40"/>
      <c r="I386" s="40"/>
      <c r="J386" s="40"/>
      <c r="K386" s="40"/>
      <c r="L386" s="40"/>
      <c r="M386" s="40"/>
      <c r="N386" s="40"/>
      <c r="O386" s="40"/>
      <c r="P386" s="40"/>
      <c r="Q386" s="40"/>
      <c r="R386" s="40"/>
      <c r="S386" s="40"/>
      <c r="T386" s="40"/>
      <c r="U386" s="40"/>
      <c r="V386" s="40"/>
      <c r="W386" s="40"/>
      <c r="X386" s="40"/>
      <c r="Y386" s="40"/>
      <c r="Z386" s="40"/>
      <c r="AA386" s="40"/>
      <c r="AB386" s="40"/>
      <c r="AC386" s="40"/>
      <c r="AD386" s="40"/>
      <c r="AE386" s="40"/>
      <c r="AF386" s="40"/>
      <c r="AG386" s="40"/>
      <c r="AH386" s="40"/>
      <c r="AI386" s="40"/>
      <c r="AJ386" s="40"/>
      <c r="AK386" s="40"/>
      <c r="AL386" s="40"/>
      <c r="AM386" s="40"/>
      <c r="AN386" s="40"/>
      <c r="AO386" s="40"/>
      <c r="AP386" s="40"/>
    </row>
    <row r="387" spans="2:42" x14ac:dyDescent="0.2">
      <c r="B387" s="40"/>
      <c r="C387" s="40"/>
      <c r="D387" s="40"/>
      <c r="E387" s="40"/>
      <c r="F387" s="40"/>
      <c r="G387" s="40"/>
      <c r="H387" s="40"/>
      <c r="I387" s="40"/>
      <c r="J387" s="40"/>
      <c r="K387" s="40"/>
      <c r="L387" s="40"/>
      <c r="M387" s="40"/>
      <c r="N387" s="40"/>
      <c r="O387" s="40"/>
      <c r="P387" s="40"/>
      <c r="Q387" s="40"/>
      <c r="R387" s="40"/>
      <c r="S387" s="40"/>
      <c r="T387" s="40"/>
      <c r="U387" s="40"/>
      <c r="V387" s="40"/>
      <c r="W387" s="40"/>
      <c r="X387" s="40"/>
      <c r="Y387" s="40"/>
      <c r="Z387" s="40"/>
      <c r="AA387" s="40"/>
      <c r="AB387" s="40"/>
      <c r="AC387" s="40"/>
      <c r="AD387" s="40"/>
      <c r="AE387" s="40"/>
      <c r="AF387" s="40"/>
      <c r="AG387" s="40"/>
      <c r="AH387" s="40"/>
      <c r="AI387" s="40"/>
      <c r="AJ387" s="40"/>
      <c r="AK387" s="40"/>
      <c r="AL387" s="40"/>
      <c r="AM387" s="40"/>
      <c r="AN387" s="40"/>
      <c r="AO387" s="40"/>
      <c r="AP387" s="40"/>
    </row>
    <row r="388" spans="2:42" x14ac:dyDescent="0.2">
      <c r="B388" s="40"/>
      <c r="C388" s="40"/>
      <c r="D388" s="40"/>
      <c r="E388" s="40"/>
      <c r="F388" s="40"/>
      <c r="G388" s="40"/>
      <c r="H388" s="40"/>
      <c r="I388" s="40"/>
      <c r="J388" s="40"/>
      <c r="K388" s="40"/>
      <c r="L388" s="40"/>
      <c r="M388" s="40"/>
      <c r="N388" s="40"/>
      <c r="O388" s="40"/>
      <c r="P388" s="40"/>
      <c r="Q388" s="40"/>
      <c r="R388" s="40"/>
      <c r="S388" s="40"/>
      <c r="T388" s="40"/>
      <c r="U388" s="40"/>
      <c r="V388" s="40"/>
      <c r="W388" s="40"/>
      <c r="X388" s="40"/>
      <c r="Y388" s="40"/>
      <c r="Z388" s="40"/>
      <c r="AA388" s="40"/>
      <c r="AB388" s="40"/>
      <c r="AC388" s="40"/>
      <c r="AD388" s="40"/>
      <c r="AE388" s="40"/>
      <c r="AF388" s="40"/>
      <c r="AG388" s="40"/>
      <c r="AH388" s="40"/>
      <c r="AI388" s="40"/>
      <c r="AJ388" s="40"/>
      <c r="AK388" s="40"/>
      <c r="AL388" s="40"/>
      <c r="AM388" s="40"/>
      <c r="AN388" s="40"/>
      <c r="AO388" s="40"/>
      <c r="AP388" s="40"/>
    </row>
    <row r="389" spans="2:42" x14ac:dyDescent="0.2">
      <c r="B389" s="40"/>
      <c r="C389" s="40"/>
      <c r="D389" s="40"/>
      <c r="E389" s="40"/>
      <c r="F389" s="40"/>
      <c r="G389" s="40"/>
      <c r="H389" s="40"/>
      <c r="I389" s="40"/>
      <c r="J389" s="40"/>
      <c r="K389" s="40"/>
      <c r="L389" s="40"/>
      <c r="M389" s="40"/>
      <c r="N389" s="40"/>
      <c r="O389" s="40"/>
      <c r="P389" s="40"/>
      <c r="Q389" s="40"/>
      <c r="R389" s="40"/>
      <c r="S389" s="40"/>
      <c r="T389" s="40"/>
      <c r="U389" s="40"/>
      <c r="V389" s="40"/>
      <c r="W389" s="40"/>
      <c r="X389" s="40"/>
      <c r="Y389" s="40"/>
      <c r="Z389" s="40"/>
      <c r="AA389" s="40"/>
      <c r="AB389" s="40"/>
      <c r="AC389" s="40"/>
      <c r="AD389" s="40"/>
      <c r="AE389" s="40"/>
      <c r="AF389" s="40"/>
      <c r="AG389" s="40"/>
      <c r="AH389" s="40"/>
      <c r="AI389" s="40"/>
      <c r="AJ389" s="40"/>
      <c r="AK389" s="40"/>
      <c r="AL389" s="40"/>
      <c r="AM389" s="40"/>
      <c r="AN389" s="40"/>
      <c r="AO389" s="40"/>
      <c r="AP389" s="40"/>
    </row>
    <row r="390" spans="2:42" x14ac:dyDescent="0.2">
      <c r="B390" s="40"/>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c r="AA390" s="40"/>
      <c r="AB390" s="40"/>
      <c r="AC390" s="40"/>
      <c r="AD390" s="40"/>
      <c r="AE390" s="40"/>
      <c r="AF390" s="40"/>
      <c r="AG390" s="40"/>
      <c r="AH390" s="40"/>
      <c r="AI390" s="40"/>
      <c r="AJ390" s="40"/>
      <c r="AK390" s="40"/>
      <c r="AL390" s="40"/>
      <c r="AM390" s="40"/>
      <c r="AN390" s="40"/>
      <c r="AO390" s="40"/>
      <c r="AP390" s="40"/>
    </row>
    <row r="391" spans="2:42" x14ac:dyDescent="0.2">
      <c r="B391" s="40"/>
      <c r="C391" s="40"/>
      <c r="D391" s="40"/>
      <c r="E391" s="40"/>
      <c r="F391" s="40"/>
      <c r="G391" s="40"/>
      <c r="H391" s="40"/>
      <c r="I391" s="40"/>
      <c r="J391" s="40"/>
      <c r="K391" s="40"/>
      <c r="L391" s="40"/>
      <c r="M391" s="40"/>
      <c r="N391" s="40"/>
      <c r="O391" s="40"/>
      <c r="P391" s="40"/>
      <c r="Q391" s="40"/>
      <c r="R391" s="40"/>
      <c r="S391" s="40"/>
      <c r="T391" s="40"/>
      <c r="U391" s="40"/>
      <c r="V391" s="40"/>
      <c r="W391" s="40"/>
      <c r="X391" s="40"/>
      <c r="Y391" s="40"/>
      <c r="Z391" s="40"/>
      <c r="AA391" s="40"/>
      <c r="AB391" s="40"/>
      <c r="AC391" s="40"/>
      <c r="AD391" s="40"/>
      <c r="AE391" s="40"/>
      <c r="AF391" s="40"/>
      <c r="AG391" s="40"/>
      <c r="AH391" s="40"/>
      <c r="AI391" s="40"/>
      <c r="AJ391" s="40"/>
      <c r="AK391" s="40"/>
      <c r="AL391" s="40"/>
      <c r="AM391" s="40"/>
      <c r="AN391" s="40"/>
      <c r="AO391" s="40"/>
      <c r="AP391" s="40"/>
    </row>
    <row r="392" spans="2:42" x14ac:dyDescent="0.2">
      <c r="B392" s="40"/>
      <c r="C392" s="40"/>
      <c r="D392" s="40"/>
      <c r="E392" s="40"/>
      <c r="F392" s="40"/>
      <c r="G392" s="40"/>
      <c r="H392" s="40"/>
      <c r="I392" s="40"/>
      <c r="J392" s="40"/>
      <c r="K392" s="40"/>
      <c r="L392" s="40"/>
      <c r="M392" s="40"/>
      <c r="N392" s="40"/>
      <c r="O392" s="40"/>
      <c r="P392" s="40"/>
      <c r="Q392" s="40"/>
      <c r="R392" s="40"/>
      <c r="S392" s="40"/>
      <c r="T392" s="40"/>
      <c r="U392" s="40"/>
      <c r="V392" s="40"/>
      <c r="W392" s="40"/>
      <c r="X392" s="40"/>
      <c r="Y392" s="40"/>
      <c r="Z392" s="40"/>
      <c r="AA392" s="40"/>
      <c r="AB392" s="40"/>
      <c r="AC392" s="40"/>
      <c r="AD392" s="40"/>
      <c r="AE392" s="40"/>
      <c r="AF392" s="40"/>
      <c r="AG392" s="40"/>
      <c r="AH392" s="40"/>
      <c r="AI392" s="40"/>
      <c r="AJ392" s="40"/>
      <c r="AK392" s="40"/>
      <c r="AL392" s="40"/>
      <c r="AM392" s="40"/>
      <c r="AN392" s="40"/>
      <c r="AO392" s="40"/>
      <c r="AP392" s="40"/>
    </row>
    <row r="393" spans="2:42" x14ac:dyDescent="0.2">
      <c r="B393" s="40"/>
      <c r="C393" s="40"/>
      <c r="D393" s="40"/>
      <c r="E393" s="40"/>
      <c r="F393" s="40"/>
      <c r="G393" s="40"/>
      <c r="H393" s="40"/>
      <c r="I393" s="40"/>
      <c r="J393" s="40"/>
      <c r="K393" s="40"/>
      <c r="L393" s="40"/>
      <c r="M393" s="40"/>
      <c r="N393" s="40"/>
      <c r="O393" s="40"/>
      <c r="P393" s="40"/>
      <c r="Q393" s="40"/>
      <c r="R393" s="40"/>
      <c r="S393" s="40"/>
      <c r="T393" s="40"/>
      <c r="U393" s="40"/>
      <c r="V393" s="40"/>
      <c r="W393" s="40"/>
      <c r="X393" s="40"/>
      <c r="Y393" s="40"/>
      <c r="Z393" s="40"/>
      <c r="AA393" s="40"/>
      <c r="AB393" s="40"/>
      <c r="AC393" s="40"/>
      <c r="AD393" s="40"/>
      <c r="AE393" s="40"/>
      <c r="AF393" s="40"/>
      <c r="AG393" s="40"/>
      <c r="AH393" s="40"/>
      <c r="AI393" s="40"/>
      <c r="AJ393" s="40"/>
      <c r="AK393" s="40"/>
      <c r="AL393" s="40"/>
      <c r="AM393" s="40"/>
      <c r="AN393" s="40"/>
      <c r="AO393" s="40"/>
      <c r="AP393" s="40"/>
    </row>
    <row r="394" spans="2:42" x14ac:dyDescent="0.2">
      <c r="B394" s="40"/>
      <c r="C394" s="40"/>
      <c r="D394" s="40"/>
      <c r="E394" s="40"/>
      <c r="F394" s="40"/>
      <c r="G394" s="40"/>
      <c r="H394" s="40"/>
      <c r="I394" s="40"/>
      <c r="J394" s="40"/>
      <c r="K394" s="40"/>
      <c r="L394" s="40"/>
      <c r="M394" s="40"/>
      <c r="N394" s="40"/>
      <c r="O394" s="40"/>
      <c r="P394" s="40"/>
      <c r="Q394" s="40"/>
      <c r="R394" s="40"/>
      <c r="S394" s="40"/>
      <c r="T394" s="40"/>
      <c r="U394" s="40"/>
      <c r="V394" s="40"/>
      <c r="W394" s="40"/>
      <c r="X394" s="40"/>
      <c r="Y394" s="40"/>
      <c r="Z394" s="40"/>
      <c r="AA394" s="40"/>
      <c r="AB394" s="40"/>
      <c r="AC394" s="40"/>
      <c r="AD394" s="40"/>
      <c r="AE394" s="40"/>
      <c r="AF394" s="40"/>
      <c r="AG394" s="40"/>
      <c r="AH394" s="40"/>
      <c r="AI394" s="40"/>
      <c r="AJ394" s="40"/>
      <c r="AK394" s="40"/>
      <c r="AL394" s="40"/>
      <c r="AM394" s="40"/>
      <c r="AN394" s="40"/>
      <c r="AO394" s="40"/>
      <c r="AP394" s="40"/>
    </row>
    <row r="395" spans="2:42" x14ac:dyDescent="0.2">
      <c r="B395" s="40"/>
      <c r="C395" s="40"/>
      <c r="D395" s="40"/>
      <c r="E395" s="40"/>
      <c r="F395" s="40"/>
      <c r="G395" s="40"/>
      <c r="H395" s="40"/>
      <c r="I395" s="40"/>
      <c r="J395" s="40"/>
      <c r="K395" s="40"/>
      <c r="L395" s="40"/>
      <c r="M395" s="40"/>
      <c r="N395" s="40"/>
      <c r="O395" s="40"/>
      <c r="P395" s="40"/>
      <c r="Q395" s="40"/>
      <c r="R395" s="40"/>
      <c r="S395" s="40"/>
      <c r="T395" s="40"/>
      <c r="U395" s="40"/>
      <c r="V395" s="40"/>
      <c r="W395" s="40"/>
      <c r="X395" s="40"/>
      <c r="Y395" s="40"/>
      <c r="Z395" s="40"/>
      <c r="AA395" s="40"/>
      <c r="AB395" s="40"/>
      <c r="AC395" s="40"/>
      <c r="AD395" s="40"/>
      <c r="AE395" s="40"/>
      <c r="AF395" s="40"/>
      <c r="AG395" s="40"/>
      <c r="AH395" s="40"/>
      <c r="AI395" s="40"/>
      <c r="AJ395" s="40"/>
      <c r="AK395" s="40"/>
      <c r="AL395" s="40"/>
      <c r="AM395" s="40"/>
      <c r="AN395" s="40"/>
      <c r="AO395" s="40"/>
      <c r="AP395" s="40"/>
    </row>
    <row r="396" spans="2:42" x14ac:dyDescent="0.2">
      <c r="B396" s="40"/>
      <c r="C396" s="40"/>
      <c r="D396" s="40"/>
      <c r="E396" s="40"/>
      <c r="F396" s="40"/>
      <c r="G396" s="40"/>
      <c r="H396" s="40"/>
      <c r="I396" s="40"/>
      <c r="J396" s="40"/>
      <c r="K396" s="40"/>
      <c r="L396" s="40"/>
      <c r="M396" s="40"/>
      <c r="N396" s="40"/>
      <c r="O396" s="40"/>
      <c r="P396" s="40"/>
      <c r="Q396" s="40"/>
      <c r="R396" s="40"/>
      <c r="S396" s="40"/>
      <c r="T396" s="40"/>
      <c r="U396" s="40"/>
      <c r="V396" s="40"/>
      <c r="W396" s="40"/>
      <c r="X396" s="40"/>
      <c r="Y396" s="40"/>
      <c r="Z396" s="40"/>
      <c r="AA396" s="40"/>
      <c r="AB396" s="40"/>
      <c r="AC396" s="40"/>
      <c r="AD396" s="40"/>
      <c r="AE396" s="40"/>
      <c r="AF396" s="40"/>
      <c r="AG396" s="40"/>
      <c r="AH396" s="40"/>
      <c r="AI396" s="40"/>
      <c r="AJ396" s="40"/>
      <c r="AK396" s="40"/>
      <c r="AL396" s="40"/>
      <c r="AM396" s="40"/>
      <c r="AN396" s="40"/>
      <c r="AO396" s="40"/>
      <c r="AP396" s="40"/>
    </row>
    <row r="397" spans="2:42" x14ac:dyDescent="0.2">
      <c r="B397" s="40"/>
      <c r="C397" s="40"/>
      <c r="D397" s="40"/>
      <c r="E397" s="40"/>
      <c r="F397" s="40"/>
      <c r="G397" s="40"/>
      <c r="H397" s="40"/>
      <c r="I397" s="40"/>
      <c r="J397" s="40"/>
      <c r="K397" s="40"/>
      <c r="L397" s="40"/>
      <c r="M397" s="40"/>
      <c r="N397" s="40"/>
      <c r="O397" s="40"/>
      <c r="P397" s="40"/>
      <c r="Q397" s="40"/>
      <c r="R397" s="40"/>
      <c r="S397" s="40"/>
      <c r="T397" s="40"/>
      <c r="U397" s="40"/>
      <c r="V397" s="40"/>
      <c r="W397" s="40"/>
      <c r="X397" s="40"/>
      <c r="Y397" s="40"/>
      <c r="Z397" s="40"/>
      <c r="AA397" s="40"/>
      <c r="AB397" s="40"/>
      <c r="AC397" s="40"/>
      <c r="AD397" s="40"/>
      <c r="AE397" s="40"/>
      <c r="AF397" s="40"/>
      <c r="AG397" s="40"/>
      <c r="AH397" s="40"/>
      <c r="AI397" s="40"/>
      <c r="AJ397" s="40"/>
      <c r="AK397" s="40"/>
      <c r="AL397" s="40"/>
      <c r="AM397" s="40"/>
      <c r="AN397" s="40"/>
      <c r="AO397" s="40"/>
      <c r="AP397" s="40"/>
    </row>
    <row r="398" spans="2:42" x14ac:dyDescent="0.2">
      <c r="B398" s="40"/>
      <c r="C398" s="40"/>
      <c r="D398" s="40"/>
      <c r="E398" s="40"/>
      <c r="F398" s="40"/>
      <c r="G398" s="40"/>
      <c r="H398" s="40"/>
      <c r="I398" s="40"/>
      <c r="J398" s="40"/>
      <c r="K398" s="40"/>
      <c r="L398" s="40"/>
      <c r="M398" s="40"/>
      <c r="N398" s="40"/>
      <c r="O398" s="40"/>
      <c r="P398" s="40"/>
      <c r="Q398" s="40"/>
      <c r="R398" s="40"/>
      <c r="S398" s="40"/>
      <c r="T398" s="40"/>
      <c r="U398" s="40"/>
      <c r="V398" s="40"/>
      <c r="W398" s="40"/>
      <c r="X398" s="40"/>
      <c r="Y398" s="40"/>
      <c r="Z398" s="40"/>
      <c r="AA398" s="40"/>
      <c r="AB398" s="40"/>
      <c r="AC398" s="40"/>
      <c r="AD398" s="40"/>
      <c r="AE398" s="40"/>
      <c r="AF398" s="40"/>
      <c r="AG398" s="40"/>
      <c r="AH398" s="40"/>
      <c r="AI398" s="40"/>
      <c r="AJ398" s="40"/>
      <c r="AK398" s="40"/>
      <c r="AL398" s="40"/>
      <c r="AM398" s="40"/>
      <c r="AN398" s="40"/>
      <c r="AO398" s="40"/>
      <c r="AP398" s="40"/>
    </row>
    <row r="399" spans="2:42" x14ac:dyDescent="0.2">
      <c r="B399" s="40"/>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c r="AA399" s="40"/>
      <c r="AB399" s="40"/>
      <c r="AC399" s="40"/>
      <c r="AD399" s="40"/>
      <c r="AE399" s="40"/>
      <c r="AF399" s="40"/>
      <c r="AG399" s="40"/>
      <c r="AH399" s="40"/>
      <c r="AI399" s="40"/>
      <c r="AJ399" s="40"/>
      <c r="AK399" s="40"/>
      <c r="AL399" s="40"/>
      <c r="AM399" s="40"/>
      <c r="AN399" s="40"/>
      <c r="AO399" s="40"/>
      <c r="AP399" s="40"/>
    </row>
    <row r="400" spans="2:42" x14ac:dyDescent="0.2">
      <c r="B400" s="40"/>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c r="AA400" s="40"/>
      <c r="AB400" s="40"/>
      <c r="AC400" s="40"/>
      <c r="AD400" s="40"/>
      <c r="AE400" s="40"/>
      <c r="AF400" s="40"/>
      <c r="AG400" s="40"/>
      <c r="AH400" s="40"/>
      <c r="AI400" s="40"/>
      <c r="AJ400" s="40"/>
      <c r="AK400" s="40"/>
      <c r="AL400" s="40"/>
      <c r="AM400" s="40"/>
      <c r="AN400" s="40"/>
      <c r="AO400" s="40"/>
      <c r="AP400" s="40"/>
    </row>
    <row r="401" spans="2:42" x14ac:dyDescent="0.2">
      <c r="B401" s="40"/>
      <c r="C401" s="40"/>
      <c r="D401" s="40"/>
      <c r="E401" s="40"/>
      <c r="F401" s="40"/>
      <c r="G401" s="40"/>
      <c r="H401" s="40"/>
      <c r="I401" s="40"/>
      <c r="J401" s="40"/>
      <c r="K401" s="40"/>
      <c r="L401" s="40"/>
      <c r="M401" s="40"/>
      <c r="N401" s="40"/>
      <c r="O401" s="40"/>
      <c r="P401" s="40"/>
      <c r="Q401" s="40"/>
      <c r="R401" s="40"/>
      <c r="S401" s="40"/>
      <c r="T401" s="40"/>
      <c r="U401" s="40"/>
      <c r="V401" s="40"/>
      <c r="W401" s="40"/>
      <c r="X401" s="40"/>
      <c r="Y401" s="40"/>
      <c r="Z401" s="40"/>
      <c r="AA401" s="40"/>
      <c r="AB401" s="40"/>
      <c r="AC401" s="40"/>
      <c r="AD401" s="40"/>
      <c r="AE401" s="40"/>
      <c r="AF401" s="40"/>
      <c r="AG401" s="40"/>
      <c r="AH401" s="40"/>
      <c r="AI401" s="40"/>
      <c r="AJ401" s="40"/>
      <c r="AK401" s="40"/>
      <c r="AL401" s="40"/>
      <c r="AM401" s="40"/>
      <c r="AN401" s="40"/>
      <c r="AO401" s="40"/>
      <c r="AP401" s="40"/>
    </row>
    <row r="402" spans="2:42" x14ac:dyDescent="0.2">
      <c r="B402" s="40"/>
      <c r="C402" s="40"/>
      <c r="D402" s="40"/>
      <c r="E402" s="40"/>
      <c r="F402" s="40"/>
      <c r="G402" s="40"/>
      <c r="H402" s="40"/>
      <c r="I402" s="40"/>
      <c r="J402" s="40"/>
      <c r="K402" s="40"/>
      <c r="L402" s="40"/>
      <c r="M402" s="40"/>
      <c r="N402" s="40"/>
      <c r="O402" s="40"/>
      <c r="P402" s="40"/>
      <c r="Q402" s="40"/>
      <c r="R402" s="40"/>
      <c r="S402" s="40"/>
      <c r="T402" s="40"/>
      <c r="U402" s="40"/>
      <c r="V402" s="40"/>
      <c r="W402" s="40"/>
      <c r="X402" s="40"/>
      <c r="Y402" s="40"/>
      <c r="Z402" s="40"/>
      <c r="AA402" s="40"/>
      <c r="AB402" s="40"/>
      <c r="AC402" s="40"/>
      <c r="AD402" s="40"/>
      <c r="AE402" s="40"/>
      <c r="AF402" s="40"/>
      <c r="AG402" s="40"/>
      <c r="AH402" s="40"/>
      <c r="AI402" s="40"/>
      <c r="AJ402" s="40"/>
      <c r="AK402" s="40"/>
      <c r="AL402" s="40"/>
      <c r="AM402" s="40"/>
      <c r="AN402" s="40"/>
      <c r="AO402" s="40"/>
      <c r="AP402" s="40"/>
    </row>
    <row r="403" spans="2:42" x14ac:dyDescent="0.2">
      <c r="B403" s="40"/>
      <c r="C403" s="40"/>
      <c r="D403" s="40"/>
      <c r="E403" s="40"/>
      <c r="F403" s="40"/>
      <c r="G403" s="40"/>
      <c r="H403" s="40"/>
      <c r="I403" s="40"/>
      <c r="J403" s="40"/>
      <c r="K403" s="40"/>
      <c r="L403" s="40"/>
      <c r="M403" s="40"/>
      <c r="N403" s="40"/>
      <c r="O403" s="40"/>
      <c r="P403" s="40"/>
      <c r="Q403" s="40"/>
      <c r="R403" s="40"/>
      <c r="S403" s="40"/>
      <c r="T403" s="40"/>
      <c r="U403" s="40"/>
      <c r="V403" s="40"/>
      <c r="W403" s="40"/>
      <c r="X403" s="40"/>
      <c r="Y403" s="40"/>
      <c r="Z403" s="40"/>
      <c r="AA403" s="40"/>
      <c r="AB403" s="40"/>
      <c r="AC403" s="40"/>
      <c r="AD403" s="40"/>
      <c r="AE403" s="40"/>
      <c r="AF403" s="40"/>
      <c r="AG403" s="40"/>
      <c r="AH403" s="40"/>
      <c r="AI403" s="40"/>
      <c r="AJ403" s="40"/>
      <c r="AK403" s="40"/>
      <c r="AL403" s="40"/>
      <c r="AM403" s="40"/>
      <c r="AN403" s="40"/>
      <c r="AO403" s="40"/>
      <c r="AP403" s="40"/>
    </row>
    <row r="404" spans="2:42" x14ac:dyDescent="0.2">
      <c r="B404" s="40"/>
      <c r="C404" s="40"/>
      <c r="D404" s="40"/>
      <c r="E404" s="40"/>
      <c r="F404" s="40"/>
      <c r="G404" s="40"/>
      <c r="H404" s="40"/>
      <c r="I404" s="40"/>
      <c r="J404" s="40"/>
      <c r="K404" s="40"/>
      <c r="L404" s="40"/>
      <c r="M404" s="40"/>
      <c r="N404" s="40"/>
      <c r="O404" s="40"/>
      <c r="P404" s="40"/>
      <c r="Q404" s="40"/>
      <c r="R404" s="40"/>
      <c r="S404" s="40"/>
      <c r="T404" s="40"/>
      <c r="U404" s="40"/>
      <c r="V404" s="40"/>
      <c r="W404" s="40"/>
      <c r="X404" s="40"/>
      <c r="Y404" s="40"/>
      <c r="Z404" s="40"/>
      <c r="AA404" s="40"/>
      <c r="AB404" s="40"/>
      <c r="AC404" s="40"/>
      <c r="AD404" s="40"/>
      <c r="AE404" s="40"/>
      <c r="AF404" s="40"/>
      <c r="AG404" s="40"/>
      <c r="AH404" s="40"/>
      <c r="AI404" s="40"/>
      <c r="AJ404" s="40"/>
      <c r="AK404" s="40"/>
      <c r="AL404" s="40"/>
      <c r="AM404" s="40"/>
      <c r="AN404" s="40"/>
      <c r="AO404" s="40"/>
      <c r="AP404" s="40"/>
    </row>
    <row r="405" spans="2:42" x14ac:dyDescent="0.2">
      <c r="B405" s="40"/>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c r="AA405" s="40"/>
      <c r="AB405" s="40"/>
      <c r="AC405" s="40"/>
      <c r="AD405" s="40"/>
      <c r="AE405" s="40"/>
      <c r="AF405" s="40"/>
      <c r="AG405" s="40"/>
      <c r="AH405" s="40"/>
      <c r="AI405" s="40"/>
      <c r="AJ405" s="40"/>
      <c r="AK405" s="40"/>
      <c r="AL405" s="40"/>
      <c r="AM405" s="40"/>
      <c r="AN405" s="40"/>
      <c r="AO405" s="40"/>
      <c r="AP405" s="40"/>
    </row>
    <row r="406" spans="2:42" x14ac:dyDescent="0.2">
      <c r="B406" s="40"/>
      <c r="C406" s="40"/>
      <c r="D406" s="40"/>
      <c r="E406" s="40"/>
      <c r="F406" s="40"/>
      <c r="G406" s="40"/>
      <c r="H406" s="40"/>
      <c r="I406" s="40"/>
      <c r="J406" s="40"/>
      <c r="K406" s="40"/>
      <c r="L406" s="40"/>
      <c r="M406" s="40"/>
      <c r="N406" s="40"/>
      <c r="O406" s="40"/>
      <c r="P406" s="40"/>
      <c r="Q406" s="40"/>
      <c r="R406" s="40"/>
      <c r="S406" s="40"/>
      <c r="T406" s="40"/>
      <c r="U406" s="40"/>
      <c r="V406" s="40"/>
      <c r="W406" s="40"/>
      <c r="X406" s="40"/>
      <c r="Y406" s="40"/>
      <c r="Z406" s="40"/>
      <c r="AA406" s="40"/>
      <c r="AB406" s="40"/>
      <c r="AC406" s="40"/>
      <c r="AD406" s="40"/>
      <c r="AE406" s="40"/>
      <c r="AF406" s="40"/>
      <c r="AG406" s="40"/>
      <c r="AH406" s="40"/>
      <c r="AI406" s="40"/>
      <c r="AJ406" s="40"/>
      <c r="AK406" s="40"/>
      <c r="AL406" s="40"/>
      <c r="AM406" s="40"/>
      <c r="AN406" s="40"/>
      <c r="AO406" s="40"/>
      <c r="AP406" s="40"/>
    </row>
    <row r="407" spans="2:42" x14ac:dyDescent="0.2">
      <c r="B407" s="40"/>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c r="AA407" s="40"/>
      <c r="AB407" s="40"/>
      <c r="AC407" s="40"/>
      <c r="AD407" s="40"/>
      <c r="AE407" s="40"/>
      <c r="AF407" s="40"/>
      <c r="AG407" s="40"/>
      <c r="AH407" s="40"/>
      <c r="AI407" s="40"/>
      <c r="AJ407" s="40"/>
      <c r="AK407" s="40"/>
      <c r="AL407" s="40"/>
      <c r="AM407" s="40"/>
      <c r="AN407" s="40"/>
      <c r="AO407" s="40"/>
      <c r="AP407" s="40"/>
    </row>
    <row r="408" spans="2:42" x14ac:dyDescent="0.2">
      <c r="B408" s="40"/>
      <c r="C408" s="40"/>
      <c r="D408" s="40"/>
      <c r="E408" s="40"/>
      <c r="F408" s="40"/>
      <c r="G408" s="40"/>
      <c r="H408" s="40"/>
      <c r="I408" s="40"/>
      <c r="J408" s="40"/>
      <c r="K408" s="40"/>
      <c r="L408" s="40"/>
      <c r="M408" s="40"/>
      <c r="N408" s="40"/>
      <c r="O408" s="40"/>
      <c r="P408" s="40"/>
      <c r="Q408" s="40"/>
      <c r="R408" s="40"/>
      <c r="S408" s="40"/>
      <c r="T408" s="40"/>
      <c r="U408" s="40"/>
      <c r="V408" s="40"/>
      <c r="W408" s="40"/>
      <c r="X408" s="40"/>
      <c r="Y408" s="40"/>
      <c r="Z408" s="40"/>
      <c r="AA408" s="40"/>
      <c r="AB408" s="40"/>
      <c r="AC408" s="40"/>
      <c r="AD408" s="40"/>
      <c r="AE408" s="40"/>
      <c r="AF408" s="40"/>
      <c r="AG408" s="40"/>
      <c r="AH408" s="40"/>
      <c r="AI408" s="40"/>
      <c r="AJ408" s="40"/>
      <c r="AK408" s="40"/>
      <c r="AL408" s="40"/>
      <c r="AM408" s="40"/>
      <c r="AN408" s="40"/>
      <c r="AO408" s="40"/>
      <c r="AP408" s="40"/>
    </row>
    <row r="409" spans="2:42" x14ac:dyDescent="0.2">
      <c r="B409" s="40"/>
      <c r="C409" s="40"/>
      <c r="D409" s="40"/>
      <c r="E409" s="40"/>
      <c r="F409" s="40"/>
      <c r="G409" s="40"/>
      <c r="H409" s="40"/>
      <c r="I409" s="40"/>
      <c r="J409" s="40"/>
      <c r="K409" s="40"/>
      <c r="L409" s="40"/>
      <c r="M409" s="40"/>
      <c r="N409" s="40"/>
      <c r="O409" s="40"/>
      <c r="P409" s="40"/>
      <c r="Q409" s="40"/>
      <c r="R409" s="40"/>
      <c r="S409" s="40"/>
      <c r="T409" s="40"/>
      <c r="U409" s="40"/>
      <c r="V409" s="40"/>
      <c r="W409" s="40"/>
      <c r="X409" s="40"/>
      <c r="Y409" s="40"/>
      <c r="Z409" s="40"/>
      <c r="AA409" s="40"/>
      <c r="AB409" s="40"/>
      <c r="AC409" s="40"/>
      <c r="AD409" s="40"/>
      <c r="AE409" s="40"/>
      <c r="AF409" s="40"/>
      <c r="AG409" s="40"/>
      <c r="AH409" s="40"/>
      <c r="AI409" s="40"/>
      <c r="AJ409" s="40"/>
      <c r="AK409" s="40"/>
      <c r="AL409" s="40"/>
      <c r="AM409" s="40"/>
      <c r="AN409" s="40"/>
      <c r="AO409" s="40"/>
      <c r="AP409" s="40"/>
    </row>
    <row r="410" spans="2:42" x14ac:dyDescent="0.2">
      <c r="B410" s="40"/>
      <c r="C410" s="40"/>
      <c r="D410" s="40"/>
      <c r="E410" s="40"/>
      <c r="F410" s="40"/>
      <c r="G410" s="40"/>
      <c r="H410" s="40"/>
      <c r="I410" s="40"/>
      <c r="J410" s="40"/>
      <c r="K410" s="40"/>
      <c r="L410" s="40"/>
      <c r="M410" s="40"/>
      <c r="N410" s="40"/>
      <c r="O410" s="40"/>
      <c r="P410" s="40"/>
      <c r="Q410" s="40"/>
      <c r="R410" s="40"/>
      <c r="S410" s="40"/>
      <c r="T410" s="40"/>
      <c r="U410" s="40"/>
      <c r="V410" s="40"/>
      <c r="W410" s="40"/>
      <c r="X410" s="40"/>
      <c r="Y410" s="40"/>
      <c r="Z410" s="40"/>
      <c r="AA410" s="40"/>
      <c r="AB410" s="40"/>
      <c r="AC410" s="40"/>
      <c r="AD410" s="40"/>
      <c r="AE410" s="40"/>
      <c r="AF410" s="40"/>
      <c r="AG410" s="40"/>
      <c r="AH410" s="40"/>
      <c r="AI410" s="40"/>
      <c r="AJ410" s="40"/>
      <c r="AK410" s="40"/>
      <c r="AL410" s="40"/>
      <c r="AM410" s="40"/>
      <c r="AN410" s="40"/>
      <c r="AO410" s="40"/>
      <c r="AP410" s="40"/>
    </row>
    <row r="411" spans="2:42" x14ac:dyDescent="0.2">
      <c r="B411" s="40"/>
      <c r="C411" s="40"/>
      <c r="D411" s="40"/>
      <c r="E411" s="40"/>
      <c r="F411" s="40"/>
      <c r="G411" s="40"/>
      <c r="H411" s="40"/>
      <c r="I411" s="40"/>
      <c r="J411" s="40"/>
      <c r="K411" s="40"/>
      <c r="L411" s="40"/>
      <c r="M411" s="40"/>
      <c r="N411" s="40"/>
      <c r="O411" s="40"/>
      <c r="P411" s="40"/>
      <c r="Q411" s="40"/>
      <c r="R411" s="40"/>
      <c r="S411" s="40"/>
      <c r="T411" s="40"/>
      <c r="U411" s="40"/>
      <c r="V411" s="40"/>
      <c r="W411" s="40"/>
      <c r="X411" s="40"/>
      <c r="Y411" s="40"/>
      <c r="Z411" s="40"/>
      <c r="AA411" s="40"/>
      <c r="AB411" s="40"/>
      <c r="AC411" s="40"/>
      <c r="AD411" s="40"/>
      <c r="AE411" s="40"/>
      <c r="AF411" s="40"/>
      <c r="AG411" s="40"/>
      <c r="AH411" s="40"/>
      <c r="AI411" s="40"/>
      <c r="AJ411" s="40"/>
      <c r="AK411" s="40"/>
      <c r="AL411" s="40"/>
      <c r="AM411" s="40"/>
      <c r="AN411" s="40"/>
      <c r="AO411" s="40"/>
      <c r="AP411" s="40"/>
    </row>
    <row r="412" spans="2:42" x14ac:dyDescent="0.2">
      <c r="B412" s="40"/>
      <c r="C412" s="40"/>
      <c r="D412" s="40"/>
      <c r="E412" s="40"/>
      <c r="F412" s="40"/>
      <c r="G412" s="40"/>
      <c r="H412" s="40"/>
      <c r="I412" s="40"/>
      <c r="J412" s="40"/>
      <c r="K412" s="40"/>
      <c r="L412" s="40"/>
      <c r="M412" s="40"/>
      <c r="N412" s="40"/>
      <c r="O412" s="40"/>
      <c r="P412" s="40"/>
      <c r="Q412" s="40"/>
      <c r="R412" s="40"/>
      <c r="S412" s="40"/>
      <c r="T412" s="40"/>
      <c r="U412" s="40"/>
      <c r="V412" s="40"/>
      <c r="W412" s="40"/>
      <c r="X412" s="40"/>
      <c r="Y412" s="40"/>
      <c r="Z412" s="40"/>
      <c r="AA412" s="40"/>
      <c r="AB412" s="40"/>
      <c r="AC412" s="40"/>
      <c r="AD412" s="40"/>
      <c r="AE412" s="40"/>
      <c r="AF412" s="40"/>
      <c r="AG412" s="40"/>
      <c r="AH412" s="40"/>
      <c r="AI412" s="40"/>
      <c r="AJ412" s="40"/>
      <c r="AK412" s="40"/>
      <c r="AL412" s="40"/>
      <c r="AM412" s="40"/>
      <c r="AN412" s="40"/>
      <c r="AO412" s="40"/>
      <c r="AP412" s="40"/>
    </row>
    <row r="413" spans="2:42" x14ac:dyDescent="0.2">
      <c r="B413" s="40"/>
      <c r="C413" s="40"/>
      <c r="D413" s="40"/>
      <c r="E413" s="40"/>
      <c r="F413" s="40"/>
      <c r="G413" s="40"/>
      <c r="H413" s="40"/>
      <c r="I413" s="40"/>
      <c r="J413" s="40"/>
      <c r="K413" s="40"/>
      <c r="L413" s="40"/>
      <c r="M413" s="40"/>
      <c r="N413" s="40"/>
      <c r="O413" s="40"/>
      <c r="P413" s="40"/>
      <c r="Q413" s="40"/>
      <c r="R413" s="40"/>
      <c r="S413" s="40"/>
      <c r="T413" s="40"/>
      <c r="U413" s="40"/>
      <c r="V413" s="40"/>
      <c r="W413" s="40"/>
      <c r="X413" s="40"/>
      <c r="Y413" s="40"/>
      <c r="Z413" s="40"/>
      <c r="AA413" s="40"/>
      <c r="AB413" s="40"/>
      <c r="AC413" s="40"/>
      <c r="AD413" s="40"/>
      <c r="AE413" s="40"/>
      <c r="AF413" s="40"/>
      <c r="AG413" s="40"/>
      <c r="AH413" s="40"/>
      <c r="AI413" s="40"/>
      <c r="AJ413" s="40"/>
      <c r="AK413" s="40"/>
      <c r="AL413" s="40"/>
      <c r="AM413" s="40"/>
      <c r="AN413" s="40"/>
      <c r="AO413" s="40"/>
      <c r="AP413" s="40"/>
    </row>
    <row r="414" spans="2:42" x14ac:dyDescent="0.2">
      <c r="B414" s="40"/>
      <c r="C414" s="40"/>
      <c r="D414" s="40"/>
      <c r="E414" s="40"/>
      <c r="F414" s="40"/>
      <c r="G414" s="40"/>
      <c r="H414" s="40"/>
      <c r="I414" s="40"/>
      <c r="J414" s="40"/>
      <c r="K414" s="40"/>
      <c r="L414" s="40"/>
      <c r="M414" s="40"/>
      <c r="N414" s="40"/>
      <c r="O414" s="40"/>
      <c r="P414" s="40"/>
      <c r="Q414" s="40"/>
      <c r="R414" s="40"/>
      <c r="S414" s="40"/>
      <c r="T414" s="40"/>
      <c r="U414" s="40"/>
      <c r="V414" s="40"/>
      <c r="W414" s="40"/>
      <c r="X414" s="40"/>
      <c r="Y414" s="40"/>
      <c r="Z414" s="40"/>
      <c r="AA414" s="40"/>
      <c r="AB414" s="40"/>
      <c r="AC414" s="40"/>
      <c r="AD414" s="40"/>
      <c r="AE414" s="40"/>
      <c r="AF414" s="40"/>
      <c r="AG414" s="40"/>
      <c r="AH414" s="40"/>
      <c r="AI414" s="40"/>
      <c r="AJ414" s="40"/>
      <c r="AK414" s="40"/>
      <c r="AL414" s="40"/>
      <c r="AM414" s="40"/>
      <c r="AN414" s="40"/>
      <c r="AO414" s="40"/>
      <c r="AP414" s="40"/>
    </row>
    <row r="415" spans="2:42" x14ac:dyDescent="0.2">
      <c r="B415" s="40"/>
      <c r="C415" s="40"/>
      <c r="D415" s="40"/>
      <c r="E415" s="40"/>
      <c r="F415" s="40"/>
      <c r="G415" s="40"/>
      <c r="H415" s="40"/>
      <c r="I415" s="40"/>
      <c r="J415" s="40"/>
      <c r="K415" s="40"/>
      <c r="L415" s="40"/>
      <c r="M415" s="40"/>
      <c r="N415" s="40"/>
      <c r="O415" s="40"/>
      <c r="P415" s="40"/>
      <c r="Q415" s="40"/>
      <c r="R415" s="40"/>
      <c r="S415" s="40"/>
      <c r="T415" s="40"/>
      <c r="U415" s="40"/>
      <c r="V415" s="40"/>
      <c r="W415" s="40"/>
      <c r="X415" s="40"/>
      <c r="Y415" s="40"/>
      <c r="Z415" s="40"/>
      <c r="AA415" s="40"/>
      <c r="AB415" s="40"/>
      <c r="AC415" s="40"/>
      <c r="AD415" s="40"/>
      <c r="AE415" s="40"/>
      <c r="AF415" s="40"/>
      <c r="AG415" s="40"/>
      <c r="AH415" s="40"/>
      <c r="AI415" s="40"/>
      <c r="AJ415" s="40"/>
      <c r="AK415" s="40"/>
      <c r="AL415" s="40"/>
      <c r="AM415" s="40"/>
      <c r="AN415" s="40"/>
      <c r="AO415" s="40"/>
      <c r="AP415" s="40"/>
    </row>
    <row r="416" spans="2:42" x14ac:dyDescent="0.2">
      <c r="B416" s="40"/>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c r="AA416" s="40"/>
      <c r="AB416" s="40"/>
      <c r="AC416" s="40"/>
      <c r="AD416" s="40"/>
      <c r="AE416" s="40"/>
      <c r="AF416" s="40"/>
      <c r="AG416" s="40"/>
      <c r="AH416" s="40"/>
      <c r="AI416" s="40"/>
      <c r="AJ416" s="40"/>
      <c r="AK416" s="40"/>
      <c r="AL416" s="40"/>
      <c r="AM416" s="40"/>
      <c r="AN416" s="40"/>
      <c r="AO416" s="40"/>
      <c r="AP416" s="40"/>
    </row>
    <row r="417" spans="2:42" x14ac:dyDescent="0.2">
      <c r="B417" s="40"/>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c r="AA417" s="40"/>
      <c r="AB417" s="40"/>
      <c r="AC417" s="40"/>
      <c r="AD417" s="40"/>
      <c r="AE417" s="40"/>
      <c r="AF417" s="40"/>
      <c r="AG417" s="40"/>
      <c r="AH417" s="40"/>
      <c r="AI417" s="40"/>
      <c r="AJ417" s="40"/>
      <c r="AK417" s="40"/>
      <c r="AL417" s="40"/>
      <c r="AM417" s="40"/>
      <c r="AN417" s="40"/>
      <c r="AO417" s="40"/>
      <c r="AP417" s="40"/>
    </row>
    <row r="418" spans="2:42" x14ac:dyDescent="0.2">
      <c r="B418" s="40"/>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c r="AA418" s="40"/>
      <c r="AB418" s="40"/>
      <c r="AC418" s="40"/>
      <c r="AD418" s="40"/>
      <c r="AE418" s="40"/>
      <c r="AF418" s="40"/>
      <c r="AG418" s="40"/>
      <c r="AH418" s="40"/>
      <c r="AI418" s="40"/>
      <c r="AJ418" s="40"/>
      <c r="AK418" s="40"/>
      <c r="AL418" s="40"/>
      <c r="AM418" s="40"/>
      <c r="AN418" s="40"/>
      <c r="AO418" s="40"/>
      <c r="AP418" s="40"/>
    </row>
    <row r="419" spans="2:42" x14ac:dyDescent="0.2">
      <c r="B419" s="40"/>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c r="AA419" s="40"/>
      <c r="AB419" s="40"/>
      <c r="AC419" s="40"/>
      <c r="AD419" s="40"/>
      <c r="AE419" s="40"/>
      <c r="AF419" s="40"/>
      <c r="AG419" s="40"/>
      <c r="AH419" s="40"/>
      <c r="AI419" s="40"/>
      <c r="AJ419" s="40"/>
      <c r="AK419" s="40"/>
      <c r="AL419" s="40"/>
      <c r="AM419" s="40"/>
      <c r="AN419" s="40"/>
      <c r="AO419" s="40"/>
      <c r="AP419" s="40"/>
    </row>
    <row r="420" spans="2:42" x14ac:dyDescent="0.2">
      <c r="B420" s="40"/>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c r="AA420" s="40"/>
      <c r="AB420" s="40"/>
      <c r="AC420" s="40"/>
      <c r="AD420" s="40"/>
      <c r="AE420" s="40"/>
      <c r="AF420" s="40"/>
      <c r="AG420" s="40"/>
      <c r="AH420" s="40"/>
      <c r="AI420" s="40"/>
      <c r="AJ420" s="40"/>
      <c r="AK420" s="40"/>
      <c r="AL420" s="40"/>
      <c r="AM420" s="40"/>
      <c r="AN420" s="40"/>
      <c r="AO420" s="40"/>
      <c r="AP420" s="40"/>
    </row>
    <row r="421" spans="2:42" x14ac:dyDescent="0.2">
      <c r="B421" s="40"/>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c r="AA421" s="40"/>
      <c r="AB421" s="40"/>
      <c r="AC421" s="40"/>
      <c r="AD421" s="40"/>
      <c r="AE421" s="40"/>
      <c r="AF421" s="40"/>
      <c r="AG421" s="40"/>
      <c r="AH421" s="40"/>
      <c r="AI421" s="40"/>
      <c r="AJ421" s="40"/>
      <c r="AK421" s="40"/>
      <c r="AL421" s="40"/>
      <c r="AM421" s="40"/>
      <c r="AN421" s="40"/>
      <c r="AO421" s="40"/>
      <c r="AP421" s="40"/>
    </row>
    <row r="422" spans="2:42" x14ac:dyDescent="0.2">
      <c r="B422" s="40"/>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c r="AA422" s="40"/>
      <c r="AB422" s="40"/>
      <c r="AC422" s="40"/>
      <c r="AD422" s="40"/>
      <c r="AE422" s="40"/>
      <c r="AF422" s="40"/>
      <c r="AG422" s="40"/>
      <c r="AH422" s="40"/>
      <c r="AI422" s="40"/>
      <c r="AJ422" s="40"/>
      <c r="AK422" s="40"/>
      <c r="AL422" s="40"/>
      <c r="AM422" s="40"/>
      <c r="AN422" s="40"/>
      <c r="AO422" s="40"/>
      <c r="AP422" s="40"/>
    </row>
    <row r="423" spans="2:42" x14ac:dyDescent="0.2">
      <c r="B423" s="40"/>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c r="AA423" s="40"/>
      <c r="AB423" s="40"/>
      <c r="AC423" s="40"/>
      <c r="AD423" s="40"/>
      <c r="AE423" s="40"/>
      <c r="AF423" s="40"/>
      <c r="AG423" s="40"/>
      <c r="AH423" s="40"/>
      <c r="AI423" s="40"/>
      <c r="AJ423" s="40"/>
      <c r="AK423" s="40"/>
      <c r="AL423" s="40"/>
      <c r="AM423" s="40"/>
      <c r="AN423" s="40"/>
      <c r="AO423" s="40"/>
      <c r="AP423" s="40"/>
    </row>
    <row r="424" spans="2:42" x14ac:dyDescent="0.2">
      <c r="B424" s="40"/>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c r="AA424" s="40"/>
      <c r="AB424" s="40"/>
      <c r="AC424" s="40"/>
      <c r="AD424" s="40"/>
      <c r="AE424" s="40"/>
      <c r="AF424" s="40"/>
      <c r="AG424" s="40"/>
      <c r="AH424" s="40"/>
      <c r="AI424" s="40"/>
      <c r="AJ424" s="40"/>
      <c r="AK424" s="40"/>
      <c r="AL424" s="40"/>
      <c r="AM424" s="40"/>
      <c r="AN424" s="40"/>
      <c r="AO424" s="40"/>
      <c r="AP424" s="40"/>
    </row>
    <row r="425" spans="2:42" x14ac:dyDescent="0.2">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c r="AM425" s="40"/>
      <c r="AN425" s="40"/>
      <c r="AO425" s="40"/>
      <c r="AP425" s="40"/>
    </row>
    <row r="426" spans="2:42" x14ac:dyDescent="0.2">
      <c r="B426" s="40"/>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c r="AA426" s="40"/>
      <c r="AB426" s="40"/>
      <c r="AC426" s="40"/>
      <c r="AD426" s="40"/>
      <c r="AE426" s="40"/>
      <c r="AF426" s="40"/>
      <c r="AG426" s="40"/>
      <c r="AH426" s="40"/>
      <c r="AI426" s="40"/>
      <c r="AJ426" s="40"/>
      <c r="AK426" s="40"/>
      <c r="AL426" s="40"/>
      <c r="AM426" s="40"/>
      <c r="AN426" s="40"/>
      <c r="AO426" s="40"/>
      <c r="AP426" s="40"/>
    </row>
    <row r="427" spans="2:42" x14ac:dyDescent="0.2">
      <c r="B427" s="40"/>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c r="AA427" s="40"/>
      <c r="AB427" s="40"/>
      <c r="AC427" s="40"/>
      <c r="AD427" s="40"/>
      <c r="AE427" s="40"/>
      <c r="AF427" s="40"/>
      <c r="AG427" s="40"/>
      <c r="AH427" s="40"/>
      <c r="AI427" s="40"/>
      <c r="AJ427" s="40"/>
      <c r="AK427" s="40"/>
      <c r="AL427" s="40"/>
      <c r="AM427" s="40"/>
      <c r="AN427" s="40"/>
      <c r="AO427" s="40"/>
      <c r="AP427" s="40"/>
    </row>
    <row r="428" spans="2:42" x14ac:dyDescent="0.2">
      <c r="B428" s="40"/>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c r="AA428" s="40"/>
      <c r="AB428" s="40"/>
      <c r="AC428" s="40"/>
      <c r="AD428" s="40"/>
      <c r="AE428" s="40"/>
      <c r="AF428" s="40"/>
      <c r="AG428" s="40"/>
      <c r="AH428" s="40"/>
      <c r="AI428" s="40"/>
      <c r="AJ428" s="40"/>
      <c r="AK428" s="40"/>
      <c r="AL428" s="40"/>
      <c r="AM428" s="40"/>
      <c r="AN428" s="40"/>
      <c r="AO428" s="40"/>
      <c r="AP428" s="40"/>
    </row>
    <row r="429" spans="2:42" x14ac:dyDescent="0.2">
      <c r="B429" s="40"/>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c r="AA429" s="40"/>
      <c r="AB429" s="40"/>
      <c r="AC429" s="40"/>
      <c r="AD429" s="40"/>
      <c r="AE429" s="40"/>
      <c r="AF429" s="40"/>
      <c r="AG429" s="40"/>
      <c r="AH429" s="40"/>
      <c r="AI429" s="40"/>
      <c r="AJ429" s="40"/>
      <c r="AK429" s="40"/>
      <c r="AL429" s="40"/>
      <c r="AM429" s="40"/>
      <c r="AN429" s="40"/>
      <c r="AO429" s="40"/>
      <c r="AP429" s="40"/>
    </row>
    <row r="430" spans="2:42" x14ac:dyDescent="0.2">
      <c r="B430" s="40"/>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c r="AA430" s="40"/>
      <c r="AB430" s="40"/>
      <c r="AC430" s="40"/>
      <c r="AD430" s="40"/>
      <c r="AE430" s="40"/>
      <c r="AF430" s="40"/>
      <c r="AG430" s="40"/>
      <c r="AH430" s="40"/>
      <c r="AI430" s="40"/>
      <c r="AJ430" s="40"/>
      <c r="AK430" s="40"/>
      <c r="AL430" s="40"/>
      <c r="AM430" s="40"/>
      <c r="AN430" s="40"/>
      <c r="AO430" s="40"/>
      <c r="AP430" s="40"/>
    </row>
    <row r="431" spans="2:42" x14ac:dyDescent="0.2">
      <c r="B431" s="40"/>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c r="AA431" s="40"/>
      <c r="AB431" s="40"/>
      <c r="AC431" s="40"/>
      <c r="AD431" s="40"/>
      <c r="AE431" s="40"/>
      <c r="AF431" s="40"/>
      <c r="AG431" s="40"/>
      <c r="AH431" s="40"/>
      <c r="AI431" s="40"/>
      <c r="AJ431" s="40"/>
      <c r="AK431" s="40"/>
      <c r="AL431" s="40"/>
      <c r="AM431" s="40"/>
      <c r="AN431" s="40"/>
      <c r="AO431" s="40"/>
      <c r="AP431" s="40"/>
    </row>
    <row r="432" spans="2:42" x14ac:dyDescent="0.2">
      <c r="B432" s="40"/>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c r="AA432" s="40"/>
      <c r="AB432" s="40"/>
      <c r="AC432" s="40"/>
      <c r="AD432" s="40"/>
      <c r="AE432" s="40"/>
      <c r="AF432" s="40"/>
      <c r="AG432" s="40"/>
      <c r="AH432" s="40"/>
      <c r="AI432" s="40"/>
      <c r="AJ432" s="40"/>
      <c r="AK432" s="40"/>
      <c r="AL432" s="40"/>
      <c r="AM432" s="40"/>
      <c r="AN432" s="40"/>
      <c r="AO432" s="40"/>
      <c r="AP432" s="40"/>
    </row>
    <row r="433" spans="2:42" x14ac:dyDescent="0.2">
      <c r="B433" s="40"/>
      <c r="C433" s="40"/>
      <c r="D433" s="40"/>
      <c r="E433" s="40"/>
      <c r="F433" s="40"/>
      <c r="G433" s="40"/>
      <c r="H433" s="40"/>
      <c r="I433" s="40"/>
      <c r="J433" s="40"/>
      <c r="K433" s="40"/>
      <c r="L433" s="40"/>
      <c r="M433" s="40"/>
      <c r="N433" s="40"/>
      <c r="O433" s="40"/>
      <c r="P433" s="40"/>
      <c r="Q433" s="40"/>
      <c r="R433" s="40"/>
      <c r="S433" s="40"/>
      <c r="T433" s="40"/>
      <c r="U433" s="40"/>
      <c r="V433" s="40"/>
      <c r="W433" s="40"/>
      <c r="X433" s="40"/>
      <c r="Y433" s="40"/>
      <c r="Z433" s="40"/>
      <c r="AA433" s="40"/>
      <c r="AB433" s="40"/>
      <c r="AC433" s="40"/>
      <c r="AD433" s="40"/>
      <c r="AE433" s="40"/>
      <c r="AF433" s="40"/>
      <c r="AG433" s="40"/>
      <c r="AH433" s="40"/>
      <c r="AI433" s="40"/>
      <c r="AJ433" s="40"/>
      <c r="AK433" s="40"/>
      <c r="AL433" s="40"/>
      <c r="AM433" s="40"/>
      <c r="AN433" s="40"/>
      <c r="AO433" s="40"/>
      <c r="AP433" s="40"/>
    </row>
    <row r="434" spans="2:42" x14ac:dyDescent="0.2">
      <c r="B434" s="40"/>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c r="AA434" s="40"/>
      <c r="AB434" s="40"/>
      <c r="AC434" s="40"/>
      <c r="AD434" s="40"/>
      <c r="AE434" s="40"/>
      <c r="AF434" s="40"/>
      <c r="AG434" s="40"/>
      <c r="AH434" s="40"/>
      <c r="AI434" s="40"/>
      <c r="AJ434" s="40"/>
      <c r="AK434" s="40"/>
      <c r="AL434" s="40"/>
      <c r="AM434" s="40"/>
      <c r="AN434" s="40"/>
      <c r="AO434" s="40"/>
      <c r="AP434" s="40"/>
    </row>
    <row r="435" spans="2:42" x14ac:dyDescent="0.2">
      <c r="B435" s="40"/>
      <c r="C435" s="40"/>
      <c r="D435" s="40"/>
      <c r="E435" s="40"/>
      <c r="F435" s="40"/>
      <c r="G435" s="40"/>
      <c r="H435" s="40"/>
      <c r="I435" s="40"/>
      <c r="J435" s="40"/>
      <c r="K435" s="40"/>
      <c r="L435" s="40"/>
      <c r="M435" s="40"/>
      <c r="N435" s="40"/>
      <c r="O435" s="40"/>
      <c r="P435" s="40"/>
      <c r="Q435" s="40"/>
      <c r="R435" s="40"/>
      <c r="S435" s="40"/>
      <c r="T435" s="40"/>
      <c r="U435" s="40"/>
      <c r="V435" s="40"/>
      <c r="W435" s="40"/>
      <c r="X435" s="40"/>
      <c r="Y435" s="40"/>
      <c r="Z435" s="40"/>
      <c r="AA435" s="40"/>
      <c r="AB435" s="40"/>
      <c r="AC435" s="40"/>
      <c r="AD435" s="40"/>
      <c r="AE435" s="40"/>
      <c r="AF435" s="40"/>
      <c r="AG435" s="40"/>
      <c r="AH435" s="40"/>
      <c r="AI435" s="40"/>
      <c r="AJ435" s="40"/>
      <c r="AK435" s="40"/>
      <c r="AL435" s="40"/>
      <c r="AM435" s="40"/>
      <c r="AN435" s="40"/>
      <c r="AO435" s="40"/>
      <c r="AP435" s="40"/>
    </row>
    <row r="436" spans="2:42" x14ac:dyDescent="0.2">
      <c r="B436" s="40"/>
      <c r="C436" s="40"/>
      <c r="D436" s="40"/>
      <c r="E436" s="40"/>
      <c r="F436" s="40"/>
      <c r="G436" s="40"/>
      <c r="H436" s="40"/>
      <c r="I436" s="40"/>
      <c r="J436" s="40"/>
      <c r="K436" s="40"/>
      <c r="L436" s="40"/>
      <c r="M436" s="40"/>
      <c r="N436" s="40"/>
      <c r="O436" s="40"/>
      <c r="P436" s="40"/>
      <c r="Q436" s="40"/>
      <c r="R436" s="40"/>
      <c r="S436" s="40"/>
      <c r="T436" s="40"/>
      <c r="U436" s="40"/>
      <c r="V436" s="40"/>
      <c r="W436" s="40"/>
      <c r="X436" s="40"/>
      <c r="Y436" s="40"/>
      <c r="Z436" s="40"/>
      <c r="AA436" s="40"/>
      <c r="AB436" s="40"/>
      <c r="AC436" s="40"/>
      <c r="AD436" s="40"/>
      <c r="AE436" s="40"/>
      <c r="AF436" s="40"/>
      <c r="AG436" s="40"/>
      <c r="AH436" s="40"/>
      <c r="AI436" s="40"/>
      <c r="AJ436" s="40"/>
      <c r="AK436" s="40"/>
      <c r="AL436" s="40"/>
      <c r="AM436" s="40"/>
      <c r="AN436" s="40"/>
      <c r="AO436" s="40"/>
      <c r="AP436" s="40"/>
    </row>
    <row r="437" spans="2:42" x14ac:dyDescent="0.2">
      <c r="B437" s="40"/>
      <c r="C437" s="40"/>
      <c r="D437" s="40"/>
      <c r="E437" s="40"/>
      <c r="F437" s="40"/>
      <c r="G437" s="40"/>
      <c r="H437" s="40"/>
      <c r="I437" s="40"/>
      <c r="J437" s="40"/>
      <c r="K437" s="40"/>
      <c r="L437" s="40"/>
      <c r="M437" s="40"/>
      <c r="N437" s="40"/>
      <c r="O437" s="40"/>
      <c r="P437" s="40"/>
      <c r="Q437" s="40"/>
      <c r="R437" s="40"/>
      <c r="S437" s="40"/>
      <c r="T437" s="40"/>
      <c r="U437" s="40"/>
      <c r="V437" s="40"/>
      <c r="W437" s="40"/>
      <c r="X437" s="40"/>
      <c r="Y437" s="40"/>
      <c r="Z437" s="40"/>
      <c r="AA437" s="40"/>
      <c r="AB437" s="40"/>
      <c r="AC437" s="40"/>
      <c r="AD437" s="40"/>
      <c r="AE437" s="40"/>
      <c r="AF437" s="40"/>
      <c r="AG437" s="40"/>
      <c r="AH437" s="40"/>
      <c r="AI437" s="40"/>
      <c r="AJ437" s="40"/>
      <c r="AK437" s="40"/>
      <c r="AL437" s="40"/>
      <c r="AM437" s="40"/>
      <c r="AN437" s="40"/>
      <c r="AO437" s="40"/>
      <c r="AP437" s="40"/>
    </row>
    <row r="438" spans="2:42" x14ac:dyDescent="0.2">
      <c r="B438" s="40"/>
      <c r="C438" s="40"/>
      <c r="D438" s="40"/>
      <c r="E438" s="40"/>
      <c r="F438" s="40"/>
      <c r="G438" s="40"/>
      <c r="H438" s="40"/>
      <c r="I438" s="40"/>
      <c r="J438" s="40"/>
      <c r="K438" s="40"/>
      <c r="L438" s="40"/>
      <c r="M438" s="40"/>
      <c r="N438" s="40"/>
      <c r="O438" s="40"/>
      <c r="P438" s="40"/>
      <c r="Q438" s="40"/>
      <c r="R438" s="40"/>
      <c r="S438" s="40"/>
      <c r="T438" s="40"/>
      <c r="U438" s="40"/>
      <c r="V438" s="40"/>
      <c r="W438" s="40"/>
      <c r="X438" s="40"/>
      <c r="Y438" s="40"/>
      <c r="Z438" s="40"/>
      <c r="AA438" s="40"/>
      <c r="AB438" s="40"/>
      <c r="AC438" s="40"/>
      <c r="AD438" s="40"/>
      <c r="AE438" s="40"/>
      <c r="AF438" s="40"/>
      <c r="AG438" s="40"/>
      <c r="AH438" s="40"/>
      <c r="AI438" s="40"/>
      <c r="AJ438" s="40"/>
      <c r="AK438" s="40"/>
      <c r="AL438" s="40"/>
      <c r="AM438" s="40"/>
      <c r="AN438" s="40"/>
      <c r="AO438" s="40"/>
      <c r="AP438" s="40"/>
    </row>
    <row r="439" spans="2:42" x14ac:dyDescent="0.2">
      <c r="B439" s="40"/>
      <c r="C439" s="40"/>
      <c r="D439" s="40"/>
      <c r="E439" s="40"/>
      <c r="F439" s="40"/>
      <c r="G439" s="40"/>
      <c r="H439" s="40"/>
      <c r="I439" s="40"/>
      <c r="J439" s="40"/>
      <c r="K439" s="40"/>
      <c r="L439" s="40"/>
      <c r="M439" s="40"/>
      <c r="N439" s="40"/>
      <c r="O439" s="40"/>
      <c r="P439" s="40"/>
      <c r="Q439" s="40"/>
      <c r="R439" s="40"/>
      <c r="S439" s="40"/>
      <c r="T439" s="40"/>
      <c r="U439" s="40"/>
      <c r="V439" s="40"/>
      <c r="W439" s="40"/>
      <c r="X439" s="40"/>
      <c r="Y439" s="40"/>
      <c r="Z439" s="40"/>
      <c r="AA439" s="40"/>
      <c r="AB439" s="40"/>
      <c r="AC439" s="40"/>
      <c r="AD439" s="40"/>
      <c r="AE439" s="40"/>
      <c r="AF439" s="40"/>
      <c r="AG439" s="40"/>
      <c r="AH439" s="40"/>
      <c r="AI439" s="40"/>
      <c r="AJ439" s="40"/>
      <c r="AK439" s="40"/>
      <c r="AL439" s="40"/>
      <c r="AM439" s="40"/>
      <c r="AN439" s="40"/>
      <c r="AO439" s="40"/>
      <c r="AP439" s="40"/>
    </row>
    <row r="440" spans="2:42" x14ac:dyDescent="0.2">
      <c r="B440" s="40"/>
      <c r="C440" s="40"/>
      <c r="D440" s="40"/>
      <c r="E440" s="40"/>
      <c r="F440" s="40"/>
      <c r="G440" s="40"/>
      <c r="H440" s="40"/>
      <c r="I440" s="40"/>
      <c r="J440" s="40"/>
      <c r="K440" s="40"/>
      <c r="L440" s="40"/>
      <c r="M440" s="40"/>
      <c r="N440" s="40"/>
      <c r="O440" s="40"/>
      <c r="P440" s="40"/>
      <c r="Q440" s="40"/>
      <c r="R440" s="40"/>
      <c r="S440" s="40"/>
      <c r="T440" s="40"/>
      <c r="U440" s="40"/>
      <c r="V440" s="40"/>
      <c r="W440" s="40"/>
      <c r="X440" s="40"/>
      <c r="Y440" s="40"/>
      <c r="Z440" s="40"/>
      <c r="AA440" s="40"/>
      <c r="AB440" s="40"/>
      <c r="AC440" s="40"/>
      <c r="AD440" s="40"/>
      <c r="AE440" s="40"/>
      <c r="AF440" s="40"/>
      <c r="AG440" s="40"/>
      <c r="AH440" s="40"/>
      <c r="AI440" s="40"/>
      <c r="AJ440" s="40"/>
      <c r="AK440" s="40"/>
      <c r="AL440" s="40"/>
      <c r="AM440" s="40"/>
      <c r="AN440" s="40"/>
      <c r="AO440" s="40"/>
      <c r="AP440" s="40"/>
    </row>
    <row r="441" spans="2:42" x14ac:dyDescent="0.2">
      <c r="B441" s="40"/>
      <c r="C441" s="40"/>
      <c r="D441" s="40"/>
      <c r="E441" s="40"/>
      <c r="F441" s="40"/>
      <c r="G441" s="40"/>
      <c r="H441" s="40"/>
      <c r="I441" s="40"/>
      <c r="J441" s="40"/>
      <c r="K441" s="40"/>
      <c r="L441" s="40"/>
      <c r="M441" s="40"/>
      <c r="N441" s="40"/>
      <c r="O441" s="40"/>
      <c r="P441" s="40"/>
      <c r="Q441" s="40"/>
      <c r="R441" s="40"/>
      <c r="S441" s="40"/>
      <c r="T441" s="40"/>
      <c r="U441" s="40"/>
      <c r="V441" s="40"/>
      <c r="W441" s="40"/>
      <c r="X441" s="40"/>
      <c r="Y441" s="40"/>
      <c r="Z441" s="40"/>
      <c r="AA441" s="40"/>
      <c r="AB441" s="40"/>
      <c r="AC441" s="40"/>
      <c r="AD441" s="40"/>
      <c r="AE441" s="40"/>
      <c r="AF441" s="40"/>
      <c r="AG441" s="40"/>
      <c r="AH441" s="40"/>
      <c r="AI441" s="40"/>
      <c r="AJ441" s="40"/>
      <c r="AK441" s="40"/>
      <c r="AL441" s="40"/>
      <c r="AM441" s="40"/>
      <c r="AN441" s="40"/>
      <c r="AO441" s="40"/>
      <c r="AP441" s="40"/>
    </row>
    <row r="442" spans="2:42" x14ac:dyDescent="0.2">
      <c r="B442" s="40"/>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c r="AA442" s="40"/>
      <c r="AB442" s="40"/>
      <c r="AC442" s="40"/>
      <c r="AD442" s="40"/>
      <c r="AE442" s="40"/>
      <c r="AF442" s="40"/>
      <c r="AG442" s="40"/>
      <c r="AH442" s="40"/>
      <c r="AI442" s="40"/>
      <c r="AJ442" s="40"/>
      <c r="AK442" s="40"/>
      <c r="AL442" s="40"/>
      <c r="AM442" s="40"/>
      <c r="AN442" s="40"/>
      <c r="AO442" s="40"/>
      <c r="AP442" s="40"/>
    </row>
    <row r="443" spans="2:42" x14ac:dyDescent="0.2">
      <c r="B443" s="40"/>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c r="AA443" s="40"/>
      <c r="AB443" s="40"/>
      <c r="AC443" s="40"/>
      <c r="AD443" s="40"/>
      <c r="AE443" s="40"/>
      <c r="AF443" s="40"/>
      <c r="AG443" s="40"/>
      <c r="AH443" s="40"/>
      <c r="AI443" s="40"/>
      <c r="AJ443" s="40"/>
      <c r="AK443" s="40"/>
      <c r="AL443" s="40"/>
      <c r="AM443" s="40"/>
      <c r="AN443" s="40"/>
      <c r="AO443" s="40"/>
      <c r="AP443" s="40"/>
    </row>
    <row r="444" spans="2:42" x14ac:dyDescent="0.2">
      <c r="B444" s="40"/>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c r="AA444" s="40"/>
      <c r="AB444" s="40"/>
      <c r="AC444" s="40"/>
      <c r="AD444" s="40"/>
      <c r="AE444" s="40"/>
      <c r="AF444" s="40"/>
      <c r="AG444" s="40"/>
      <c r="AH444" s="40"/>
      <c r="AI444" s="40"/>
      <c r="AJ444" s="40"/>
      <c r="AK444" s="40"/>
      <c r="AL444" s="40"/>
      <c r="AM444" s="40"/>
      <c r="AN444" s="40"/>
      <c r="AO444" s="40"/>
      <c r="AP444" s="40"/>
    </row>
    <row r="445" spans="2:42" x14ac:dyDescent="0.2">
      <c r="B445" s="40"/>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c r="AA445" s="40"/>
      <c r="AB445" s="40"/>
      <c r="AC445" s="40"/>
      <c r="AD445" s="40"/>
      <c r="AE445" s="40"/>
      <c r="AF445" s="40"/>
      <c r="AG445" s="40"/>
      <c r="AH445" s="40"/>
      <c r="AI445" s="40"/>
      <c r="AJ445" s="40"/>
      <c r="AK445" s="40"/>
      <c r="AL445" s="40"/>
      <c r="AM445" s="40"/>
      <c r="AN445" s="40"/>
      <c r="AO445" s="40"/>
      <c r="AP445" s="40"/>
    </row>
    <row r="446" spans="2:42" x14ac:dyDescent="0.2">
      <c r="B446" s="40"/>
      <c r="C446" s="40"/>
      <c r="D446" s="40"/>
      <c r="E446" s="40"/>
      <c r="F446" s="40"/>
      <c r="G446" s="40"/>
      <c r="H446" s="40"/>
      <c r="I446" s="40"/>
      <c r="J446" s="40"/>
      <c r="K446" s="40"/>
      <c r="L446" s="40"/>
      <c r="M446" s="40"/>
      <c r="N446" s="40"/>
      <c r="O446" s="40"/>
      <c r="P446" s="40"/>
      <c r="Q446" s="40"/>
      <c r="R446" s="40"/>
      <c r="S446" s="40"/>
      <c r="T446" s="40"/>
      <c r="U446" s="40"/>
      <c r="V446" s="40"/>
      <c r="W446" s="40"/>
      <c r="X446" s="40"/>
      <c r="Y446" s="40"/>
      <c r="Z446" s="40"/>
      <c r="AA446" s="40"/>
      <c r="AB446" s="40"/>
      <c r="AC446" s="40"/>
      <c r="AD446" s="40"/>
      <c r="AE446" s="40"/>
      <c r="AF446" s="40"/>
      <c r="AG446" s="40"/>
      <c r="AH446" s="40"/>
      <c r="AI446" s="40"/>
      <c r="AJ446" s="40"/>
      <c r="AK446" s="40"/>
      <c r="AL446" s="40"/>
      <c r="AM446" s="40"/>
      <c r="AN446" s="40"/>
      <c r="AO446" s="40"/>
      <c r="AP446" s="40"/>
    </row>
    <row r="447" spans="2:42" x14ac:dyDescent="0.2">
      <c r="B447" s="40"/>
      <c r="C447" s="40"/>
      <c r="D447" s="40"/>
      <c r="E447" s="40"/>
      <c r="F447" s="40"/>
      <c r="G447" s="40"/>
      <c r="H447" s="40"/>
      <c r="I447" s="40"/>
      <c r="J447" s="40"/>
      <c r="K447" s="40"/>
      <c r="L447" s="40"/>
      <c r="M447" s="40"/>
      <c r="N447" s="40"/>
      <c r="O447" s="40"/>
      <c r="P447" s="40"/>
      <c r="Q447" s="40"/>
      <c r="R447" s="40"/>
      <c r="S447" s="40"/>
      <c r="T447" s="40"/>
      <c r="U447" s="40"/>
      <c r="V447" s="40"/>
      <c r="W447" s="40"/>
      <c r="X447" s="40"/>
      <c r="Y447" s="40"/>
      <c r="Z447" s="40"/>
      <c r="AA447" s="40"/>
      <c r="AB447" s="40"/>
      <c r="AC447" s="40"/>
      <c r="AD447" s="40"/>
      <c r="AE447" s="40"/>
      <c r="AF447" s="40"/>
      <c r="AG447" s="40"/>
      <c r="AH447" s="40"/>
      <c r="AI447" s="40"/>
      <c r="AJ447" s="40"/>
      <c r="AK447" s="40"/>
      <c r="AL447" s="40"/>
      <c r="AM447" s="40"/>
      <c r="AN447" s="40"/>
      <c r="AO447" s="40"/>
      <c r="AP447" s="40"/>
    </row>
    <row r="448" spans="2:42" x14ac:dyDescent="0.2">
      <c r="B448" s="40"/>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c r="AA448" s="40"/>
      <c r="AB448" s="40"/>
      <c r="AC448" s="40"/>
      <c r="AD448" s="40"/>
      <c r="AE448" s="40"/>
      <c r="AF448" s="40"/>
      <c r="AG448" s="40"/>
      <c r="AH448" s="40"/>
      <c r="AI448" s="40"/>
      <c r="AJ448" s="40"/>
      <c r="AK448" s="40"/>
      <c r="AL448" s="40"/>
      <c r="AM448" s="40"/>
      <c r="AN448" s="40"/>
      <c r="AO448" s="40"/>
      <c r="AP448" s="40"/>
    </row>
    <row r="449" spans="2:42" x14ac:dyDescent="0.2">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0"/>
      <c r="AL449" s="40"/>
      <c r="AM449" s="40"/>
      <c r="AN449" s="40"/>
      <c r="AO449" s="40"/>
      <c r="AP449" s="40"/>
    </row>
    <row r="450" spans="2:42" x14ac:dyDescent="0.2">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c r="AM450" s="40"/>
      <c r="AN450" s="40"/>
      <c r="AO450" s="40"/>
      <c r="AP450" s="40"/>
    </row>
    <row r="451" spans="2:42" x14ac:dyDescent="0.2">
      <c r="B451" s="40"/>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c r="AA451" s="40"/>
      <c r="AB451" s="40"/>
      <c r="AC451" s="40"/>
      <c r="AD451" s="40"/>
      <c r="AE451" s="40"/>
      <c r="AF451" s="40"/>
      <c r="AG451" s="40"/>
      <c r="AH451" s="40"/>
      <c r="AI451" s="40"/>
      <c r="AJ451" s="40"/>
      <c r="AK451" s="40"/>
      <c r="AL451" s="40"/>
      <c r="AM451" s="40"/>
      <c r="AN451" s="40"/>
      <c r="AO451" s="40"/>
      <c r="AP451" s="40"/>
    </row>
    <row r="452" spans="2:42" x14ac:dyDescent="0.2">
      <c r="B452" s="40"/>
      <c r="C452" s="40"/>
      <c r="D452" s="40"/>
      <c r="E452" s="40"/>
      <c r="F452" s="40"/>
      <c r="G452" s="40"/>
      <c r="H452" s="40"/>
      <c r="I452" s="40"/>
      <c r="J452" s="40"/>
      <c r="K452" s="40"/>
      <c r="L452" s="40"/>
      <c r="M452" s="40"/>
      <c r="N452" s="40"/>
      <c r="O452" s="40"/>
      <c r="P452" s="40"/>
      <c r="Q452" s="40"/>
      <c r="R452" s="40"/>
      <c r="S452" s="40"/>
      <c r="T452" s="40"/>
      <c r="U452" s="40"/>
      <c r="V452" s="40"/>
      <c r="W452" s="40"/>
      <c r="X452" s="40"/>
      <c r="Y452" s="40"/>
      <c r="Z452" s="40"/>
      <c r="AA452" s="40"/>
      <c r="AB452" s="40"/>
      <c r="AC452" s="40"/>
      <c r="AD452" s="40"/>
      <c r="AE452" s="40"/>
      <c r="AF452" s="40"/>
      <c r="AG452" s="40"/>
      <c r="AH452" s="40"/>
      <c r="AI452" s="40"/>
      <c r="AJ452" s="40"/>
      <c r="AK452" s="40"/>
      <c r="AL452" s="40"/>
      <c r="AM452" s="40"/>
      <c r="AN452" s="40"/>
      <c r="AO452" s="40"/>
      <c r="AP452" s="40"/>
    </row>
    <row r="453" spans="2:42" x14ac:dyDescent="0.2">
      <c r="B453" s="40"/>
      <c r="C453" s="40"/>
      <c r="D453" s="40"/>
      <c r="E453" s="40"/>
      <c r="F453" s="40"/>
      <c r="G453" s="40"/>
      <c r="H453" s="40"/>
      <c r="I453" s="40"/>
      <c r="J453" s="40"/>
      <c r="K453" s="40"/>
      <c r="L453" s="40"/>
      <c r="M453" s="40"/>
      <c r="N453" s="40"/>
      <c r="O453" s="40"/>
      <c r="P453" s="40"/>
      <c r="Q453" s="40"/>
      <c r="R453" s="40"/>
      <c r="S453" s="40"/>
      <c r="T453" s="40"/>
      <c r="U453" s="40"/>
      <c r="V453" s="40"/>
      <c r="W453" s="40"/>
      <c r="X453" s="40"/>
      <c r="Y453" s="40"/>
      <c r="Z453" s="40"/>
      <c r="AA453" s="40"/>
      <c r="AB453" s="40"/>
      <c r="AC453" s="40"/>
      <c r="AD453" s="40"/>
      <c r="AE453" s="40"/>
      <c r="AF453" s="40"/>
      <c r="AG453" s="40"/>
      <c r="AH453" s="40"/>
      <c r="AI453" s="40"/>
      <c r="AJ453" s="40"/>
      <c r="AK453" s="40"/>
      <c r="AL453" s="40"/>
      <c r="AM453" s="40"/>
      <c r="AN453" s="40"/>
      <c r="AO453" s="40"/>
      <c r="AP453" s="40"/>
    </row>
    <row r="454" spans="2:42" x14ac:dyDescent="0.2">
      <c r="B454" s="40"/>
      <c r="C454" s="40"/>
      <c r="D454" s="40"/>
      <c r="E454" s="40"/>
      <c r="F454" s="40"/>
      <c r="G454" s="40"/>
      <c r="H454" s="40"/>
      <c r="I454" s="40"/>
      <c r="J454" s="40"/>
      <c r="K454" s="40"/>
      <c r="L454" s="40"/>
      <c r="M454" s="40"/>
      <c r="N454" s="40"/>
      <c r="O454" s="40"/>
      <c r="P454" s="40"/>
      <c r="Q454" s="40"/>
      <c r="R454" s="40"/>
      <c r="S454" s="40"/>
      <c r="T454" s="40"/>
      <c r="U454" s="40"/>
      <c r="V454" s="40"/>
      <c r="W454" s="40"/>
      <c r="X454" s="40"/>
      <c r="Y454" s="40"/>
      <c r="Z454" s="40"/>
      <c r="AA454" s="40"/>
      <c r="AB454" s="40"/>
      <c r="AC454" s="40"/>
      <c r="AD454" s="40"/>
      <c r="AE454" s="40"/>
      <c r="AF454" s="40"/>
      <c r="AG454" s="40"/>
      <c r="AH454" s="40"/>
      <c r="AI454" s="40"/>
      <c r="AJ454" s="40"/>
      <c r="AK454" s="40"/>
      <c r="AL454" s="40"/>
      <c r="AM454" s="40"/>
      <c r="AN454" s="40"/>
      <c r="AO454" s="40"/>
      <c r="AP454" s="40"/>
    </row>
    <row r="455" spans="2:42" x14ac:dyDescent="0.2">
      <c r="B455" s="40"/>
      <c r="C455" s="40"/>
      <c r="D455" s="40"/>
      <c r="E455" s="40"/>
      <c r="F455" s="40"/>
      <c r="G455" s="40"/>
      <c r="H455" s="40"/>
      <c r="I455" s="40"/>
      <c r="J455" s="40"/>
      <c r="K455" s="40"/>
      <c r="L455" s="40"/>
      <c r="M455" s="40"/>
      <c r="N455" s="40"/>
      <c r="O455" s="40"/>
      <c r="P455" s="40"/>
      <c r="Q455" s="40"/>
      <c r="R455" s="40"/>
      <c r="S455" s="40"/>
      <c r="T455" s="40"/>
      <c r="U455" s="40"/>
      <c r="V455" s="40"/>
      <c r="W455" s="40"/>
      <c r="X455" s="40"/>
      <c r="Y455" s="40"/>
      <c r="Z455" s="40"/>
      <c r="AA455" s="40"/>
      <c r="AB455" s="40"/>
      <c r="AC455" s="40"/>
      <c r="AD455" s="40"/>
      <c r="AE455" s="40"/>
      <c r="AF455" s="40"/>
      <c r="AG455" s="40"/>
      <c r="AH455" s="40"/>
      <c r="AI455" s="40"/>
      <c r="AJ455" s="40"/>
      <c r="AK455" s="40"/>
      <c r="AL455" s="40"/>
      <c r="AM455" s="40"/>
      <c r="AN455" s="40"/>
      <c r="AO455" s="40"/>
      <c r="AP455" s="40"/>
    </row>
    <row r="456" spans="2:42" x14ac:dyDescent="0.2">
      <c r="B456" s="40"/>
      <c r="C456" s="40"/>
      <c r="D456" s="40"/>
      <c r="E456" s="40"/>
      <c r="F456" s="40"/>
      <c r="G456" s="40"/>
      <c r="H456" s="40"/>
      <c r="I456" s="40"/>
      <c r="J456" s="40"/>
      <c r="K456" s="40"/>
      <c r="L456" s="40"/>
      <c r="M456" s="40"/>
      <c r="N456" s="40"/>
      <c r="O456" s="40"/>
      <c r="P456" s="40"/>
      <c r="Q456" s="40"/>
      <c r="R456" s="40"/>
      <c r="S456" s="40"/>
      <c r="T456" s="40"/>
      <c r="U456" s="40"/>
      <c r="V456" s="40"/>
      <c r="W456" s="40"/>
      <c r="X456" s="40"/>
      <c r="Y456" s="40"/>
      <c r="Z456" s="40"/>
      <c r="AA456" s="40"/>
      <c r="AB456" s="40"/>
      <c r="AC456" s="40"/>
      <c r="AD456" s="40"/>
      <c r="AE456" s="40"/>
      <c r="AF456" s="40"/>
      <c r="AG456" s="40"/>
      <c r="AH456" s="40"/>
      <c r="AI456" s="40"/>
      <c r="AJ456" s="40"/>
      <c r="AK456" s="40"/>
      <c r="AL456" s="40"/>
      <c r="AM456" s="40"/>
      <c r="AN456" s="40"/>
      <c r="AO456" s="40"/>
      <c r="AP456" s="40"/>
    </row>
    <row r="457" spans="2:42" x14ac:dyDescent="0.2">
      <c r="B457" s="40"/>
      <c r="C457" s="40"/>
      <c r="D457" s="40"/>
      <c r="E457" s="40"/>
      <c r="F457" s="40"/>
      <c r="G457" s="40"/>
      <c r="H457" s="40"/>
      <c r="I457" s="40"/>
      <c r="J457" s="40"/>
      <c r="K457" s="40"/>
      <c r="L457" s="40"/>
      <c r="M457" s="40"/>
      <c r="N457" s="40"/>
      <c r="O457" s="40"/>
      <c r="P457" s="40"/>
      <c r="Q457" s="40"/>
      <c r="R457" s="40"/>
      <c r="S457" s="40"/>
      <c r="T457" s="40"/>
      <c r="U457" s="40"/>
      <c r="V457" s="40"/>
      <c r="W457" s="40"/>
      <c r="X457" s="40"/>
      <c r="Y457" s="40"/>
      <c r="Z457" s="40"/>
      <c r="AA457" s="40"/>
      <c r="AB457" s="40"/>
      <c r="AC457" s="40"/>
      <c r="AD457" s="40"/>
      <c r="AE457" s="40"/>
      <c r="AF457" s="40"/>
      <c r="AG457" s="40"/>
      <c r="AH457" s="40"/>
      <c r="AI457" s="40"/>
      <c r="AJ457" s="40"/>
      <c r="AK457" s="40"/>
      <c r="AL457" s="40"/>
      <c r="AM457" s="40"/>
      <c r="AN457" s="40"/>
      <c r="AO457" s="40"/>
      <c r="AP457" s="40"/>
    </row>
    <row r="458" spans="2:42" x14ac:dyDescent="0.2">
      <c r="B458" s="40"/>
      <c r="C458" s="40"/>
      <c r="D458" s="40"/>
      <c r="E458" s="40"/>
      <c r="F458" s="40"/>
      <c r="G458" s="40"/>
      <c r="H458" s="40"/>
      <c r="I458" s="40"/>
      <c r="J458" s="40"/>
      <c r="K458" s="40"/>
      <c r="L458" s="40"/>
      <c r="M458" s="40"/>
      <c r="N458" s="40"/>
      <c r="O458" s="40"/>
      <c r="P458" s="40"/>
      <c r="Q458" s="40"/>
      <c r="R458" s="40"/>
      <c r="S458" s="40"/>
      <c r="T458" s="40"/>
      <c r="U458" s="40"/>
      <c r="V458" s="40"/>
      <c r="W458" s="40"/>
      <c r="X458" s="40"/>
      <c r="Y458" s="40"/>
      <c r="Z458" s="40"/>
      <c r="AA458" s="40"/>
      <c r="AB458" s="40"/>
      <c r="AC458" s="40"/>
      <c r="AD458" s="40"/>
      <c r="AE458" s="40"/>
      <c r="AF458" s="40"/>
      <c r="AG458" s="40"/>
      <c r="AH458" s="40"/>
      <c r="AI458" s="40"/>
      <c r="AJ458" s="40"/>
      <c r="AK458" s="40"/>
      <c r="AL458" s="40"/>
      <c r="AM458" s="40"/>
      <c r="AN458" s="40"/>
      <c r="AO458" s="40"/>
      <c r="AP458" s="40"/>
    </row>
    <row r="459" spans="2:42" x14ac:dyDescent="0.2">
      <c r="B459" s="40"/>
      <c r="C459" s="40"/>
      <c r="D459" s="40"/>
      <c r="E459" s="40"/>
      <c r="F459" s="40"/>
      <c r="G459" s="40"/>
      <c r="H459" s="40"/>
      <c r="I459" s="40"/>
      <c r="J459" s="40"/>
      <c r="K459" s="40"/>
      <c r="L459" s="40"/>
      <c r="M459" s="40"/>
      <c r="N459" s="40"/>
      <c r="O459" s="40"/>
      <c r="P459" s="40"/>
      <c r="Q459" s="40"/>
      <c r="R459" s="40"/>
      <c r="S459" s="40"/>
      <c r="T459" s="40"/>
      <c r="U459" s="40"/>
      <c r="V459" s="40"/>
      <c r="W459" s="40"/>
      <c r="X459" s="40"/>
      <c r="Y459" s="40"/>
      <c r="Z459" s="40"/>
      <c r="AA459" s="40"/>
      <c r="AB459" s="40"/>
      <c r="AC459" s="40"/>
      <c r="AD459" s="40"/>
      <c r="AE459" s="40"/>
      <c r="AF459" s="40"/>
      <c r="AG459" s="40"/>
      <c r="AH459" s="40"/>
      <c r="AI459" s="40"/>
      <c r="AJ459" s="40"/>
      <c r="AK459" s="40"/>
      <c r="AL459" s="40"/>
      <c r="AM459" s="40"/>
      <c r="AN459" s="40"/>
      <c r="AO459" s="40"/>
      <c r="AP459" s="40"/>
    </row>
    <row r="460" spans="2:42" x14ac:dyDescent="0.2">
      <c r="B460" s="40"/>
      <c r="C460" s="40"/>
      <c r="D460" s="40"/>
      <c r="E460" s="40"/>
      <c r="F460" s="40"/>
      <c r="G460" s="40"/>
      <c r="H460" s="40"/>
      <c r="I460" s="40"/>
      <c r="J460" s="40"/>
      <c r="K460" s="40"/>
      <c r="L460" s="40"/>
      <c r="M460" s="40"/>
      <c r="N460" s="40"/>
      <c r="O460" s="40"/>
      <c r="P460" s="40"/>
      <c r="Q460" s="40"/>
      <c r="R460" s="40"/>
      <c r="S460" s="40"/>
      <c r="T460" s="40"/>
      <c r="U460" s="40"/>
      <c r="V460" s="40"/>
      <c r="W460" s="40"/>
      <c r="X460" s="40"/>
      <c r="Y460" s="40"/>
      <c r="Z460" s="40"/>
      <c r="AA460" s="40"/>
      <c r="AB460" s="40"/>
      <c r="AC460" s="40"/>
      <c r="AD460" s="40"/>
      <c r="AE460" s="40"/>
      <c r="AF460" s="40"/>
      <c r="AG460" s="40"/>
      <c r="AH460" s="40"/>
      <c r="AI460" s="40"/>
      <c r="AJ460" s="40"/>
      <c r="AK460" s="40"/>
      <c r="AL460" s="40"/>
      <c r="AM460" s="40"/>
      <c r="AN460" s="40"/>
      <c r="AO460" s="40"/>
      <c r="AP460" s="40"/>
    </row>
    <row r="461" spans="2:42" x14ac:dyDescent="0.2">
      <c r="B461" s="40"/>
      <c r="C461" s="40"/>
      <c r="D461" s="40"/>
      <c r="E461" s="40"/>
      <c r="F461" s="40"/>
      <c r="G461" s="40"/>
      <c r="H461" s="40"/>
      <c r="I461" s="40"/>
      <c r="J461" s="40"/>
      <c r="K461" s="40"/>
      <c r="L461" s="40"/>
      <c r="M461" s="40"/>
      <c r="N461" s="40"/>
      <c r="O461" s="40"/>
      <c r="P461" s="40"/>
      <c r="Q461" s="40"/>
      <c r="R461" s="40"/>
      <c r="S461" s="40"/>
      <c r="T461" s="40"/>
      <c r="U461" s="40"/>
      <c r="V461" s="40"/>
      <c r="W461" s="40"/>
      <c r="X461" s="40"/>
      <c r="Y461" s="40"/>
      <c r="Z461" s="40"/>
      <c r="AA461" s="40"/>
      <c r="AB461" s="40"/>
      <c r="AC461" s="40"/>
      <c r="AD461" s="40"/>
      <c r="AE461" s="40"/>
      <c r="AF461" s="40"/>
      <c r="AG461" s="40"/>
      <c r="AH461" s="40"/>
      <c r="AI461" s="40"/>
      <c r="AJ461" s="40"/>
      <c r="AK461" s="40"/>
      <c r="AL461" s="40"/>
      <c r="AM461" s="40"/>
      <c r="AN461" s="40"/>
      <c r="AO461" s="40"/>
      <c r="AP461" s="40"/>
    </row>
    <row r="462" spans="2:42" x14ac:dyDescent="0.2">
      <c r="B462" s="40"/>
      <c r="C462" s="40"/>
      <c r="D462" s="40"/>
      <c r="E462" s="40"/>
      <c r="F462" s="40"/>
      <c r="G462" s="40"/>
      <c r="H462" s="40"/>
      <c r="I462" s="40"/>
      <c r="J462" s="40"/>
      <c r="K462" s="40"/>
      <c r="L462" s="40"/>
      <c r="M462" s="40"/>
      <c r="N462" s="40"/>
      <c r="O462" s="40"/>
      <c r="P462" s="40"/>
      <c r="Q462" s="40"/>
      <c r="R462" s="40"/>
      <c r="S462" s="40"/>
      <c r="T462" s="40"/>
      <c r="U462" s="40"/>
      <c r="V462" s="40"/>
      <c r="W462" s="40"/>
      <c r="X462" s="40"/>
      <c r="Y462" s="40"/>
      <c r="Z462" s="40"/>
      <c r="AA462" s="40"/>
      <c r="AB462" s="40"/>
      <c r="AC462" s="40"/>
      <c r="AD462" s="40"/>
      <c r="AE462" s="40"/>
      <c r="AF462" s="40"/>
      <c r="AG462" s="40"/>
      <c r="AH462" s="40"/>
      <c r="AI462" s="40"/>
      <c r="AJ462" s="40"/>
      <c r="AK462" s="40"/>
      <c r="AL462" s="40"/>
      <c r="AM462" s="40"/>
      <c r="AN462" s="40"/>
      <c r="AO462" s="40"/>
      <c r="AP462" s="40"/>
    </row>
    <row r="463" spans="2:42" x14ac:dyDescent="0.2">
      <c r="B463" s="40"/>
      <c r="C463" s="40"/>
      <c r="D463" s="40"/>
      <c r="E463" s="40"/>
      <c r="F463" s="40"/>
      <c r="G463" s="40"/>
      <c r="H463" s="40"/>
      <c r="I463" s="40"/>
      <c r="J463" s="40"/>
      <c r="K463" s="40"/>
      <c r="L463" s="40"/>
      <c r="M463" s="40"/>
      <c r="N463" s="40"/>
      <c r="O463" s="40"/>
      <c r="P463" s="40"/>
      <c r="Q463" s="40"/>
      <c r="R463" s="40"/>
      <c r="S463" s="40"/>
      <c r="T463" s="40"/>
      <c r="U463" s="40"/>
      <c r="V463" s="40"/>
      <c r="W463" s="40"/>
      <c r="X463" s="40"/>
      <c r="Y463" s="40"/>
      <c r="Z463" s="40"/>
      <c r="AA463" s="40"/>
      <c r="AB463" s="40"/>
      <c r="AC463" s="40"/>
      <c r="AD463" s="40"/>
      <c r="AE463" s="40"/>
      <c r="AF463" s="40"/>
      <c r="AG463" s="40"/>
      <c r="AH463" s="40"/>
      <c r="AI463" s="40"/>
      <c r="AJ463" s="40"/>
      <c r="AK463" s="40"/>
      <c r="AL463" s="40"/>
      <c r="AM463" s="40"/>
      <c r="AN463" s="40"/>
      <c r="AO463" s="40"/>
      <c r="AP463" s="40"/>
    </row>
    <row r="464" spans="2:42" x14ac:dyDescent="0.2">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0"/>
      <c r="AL464" s="40"/>
      <c r="AM464" s="40"/>
      <c r="AN464" s="40"/>
      <c r="AO464" s="40"/>
      <c r="AP464" s="40"/>
    </row>
    <row r="465" spans="2:42" x14ac:dyDescent="0.2">
      <c r="B465" s="40"/>
      <c r="C465" s="40"/>
      <c r="D465" s="40"/>
      <c r="E465" s="40"/>
      <c r="F465" s="40"/>
      <c r="G465" s="40"/>
      <c r="H465" s="40"/>
      <c r="I465" s="40"/>
      <c r="J465" s="40"/>
      <c r="K465" s="40"/>
      <c r="L465" s="40"/>
      <c r="M465" s="40"/>
      <c r="N465" s="40"/>
      <c r="O465" s="40"/>
      <c r="P465" s="40"/>
      <c r="Q465" s="40"/>
      <c r="R465" s="40"/>
      <c r="S465" s="40"/>
      <c r="T465" s="40"/>
      <c r="U465" s="40"/>
      <c r="V465" s="40"/>
      <c r="W465" s="40"/>
      <c r="X465" s="40"/>
      <c r="Y465" s="40"/>
      <c r="Z465" s="40"/>
      <c r="AA465" s="40"/>
      <c r="AB465" s="40"/>
      <c r="AC465" s="40"/>
      <c r="AD465" s="40"/>
      <c r="AE465" s="40"/>
      <c r="AF465" s="40"/>
      <c r="AG465" s="40"/>
      <c r="AH465" s="40"/>
      <c r="AI465" s="40"/>
      <c r="AJ465" s="40"/>
      <c r="AK465" s="40"/>
      <c r="AL465" s="40"/>
      <c r="AM465" s="40"/>
      <c r="AN465" s="40"/>
      <c r="AO465" s="40"/>
      <c r="AP465" s="40"/>
    </row>
    <row r="466" spans="2:42" x14ac:dyDescent="0.2">
      <c r="B466" s="40"/>
      <c r="C466" s="40"/>
      <c r="D466" s="40"/>
      <c r="E466" s="40"/>
      <c r="F466" s="40"/>
      <c r="G466" s="40"/>
      <c r="H466" s="40"/>
      <c r="I466" s="40"/>
      <c r="J466" s="40"/>
      <c r="K466" s="40"/>
      <c r="L466" s="40"/>
      <c r="M466" s="40"/>
      <c r="N466" s="40"/>
      <c r="O466" s="40"/>
      <c r="P466" s="40"/>
      <c r="Q466" s="40"/>
      <c r="R466" s="40"/>
      <c r="S466" s="40"/>
      <c r="T466" s="40"/>
      <c r="U466" s="40"/>
      <c r="V466" s="40"/>
      <c r="W466" s="40"/>
      <c r="X466" s="40"/>
      <c r="Y466" s="40"/>
      <c r="Z466" s="40"/>
      <c r="AA466" s="40"/>
      <c r="AB466" s="40"/>
      <c r="AC466" s="40"/>
      <c r="AD466" s="40"/>
      <c r="AE466" s="40"/>
      <c r="AF466" s="40"/>
      <c r="AG466" s="40"/>
      <c r="AH466" s="40"/>
      <c r="AI466" s="40"/>
      <c r="AJ466" s="40"/>
      <c r="AK466" s="40"/>
      <c r="AL466" s="40"/>
      <c r="AM466" s="40"/>
      <c r="AN466" s="40"/>
      <c r="AO466" s="40"/>
      <c r="AP466" s="40"/>
    </row>
    <row r="467" spans="2:42" x14ac:dyDescent="0.2">
      <c r="B467" s="40"/>
      <c r="C467" s="40"/>
      <c r="D467" s="40"/>
      <c r="E467" s="40"/>
      <c r="F467" s="40"/>
      <c r="G467" s="40"/>
      <c r="H467" s="40"/>
      <c r="I467" s="40"/>
      <c r="J467" s="40"/>
      <c r="K467" s="40"/>
      <c r="L467" s="40"/>
      <c r="M467" s="40"/>
      <c r="N467" s="40"/>
      <c r="O467" s="40"/>
      <c r="P467" s="40"/>
      <c r="Q467" s="40"/>
      <c r="R467" s="40"/>
      <c r="S467" s="40"/>
      <c r="T467" s="40"/>
      <c r="U467" s="40"/>
      <c r="V467" s="40"/>
      <c r="W467" s="40"/>
      <c r="X467" s="40"/>
      <c r="Y467" s="40"/>
      <c r="Z467" s="40"/>
      <c r="AA467" s="40"/>
      <c r="AB467" s="40"/>
      <c r="AC467" s="40"/>
      <c r="AD467" s="40"/>
      <c r="AE467" s="40"/>
      <c r="AF467" s="40"/>
      <c r="AG467" s="40"/>
      <c r="AH467" s="40"/>
      <c r="AI467" s="40"/>
      <c r="AJ467" s="40"/>
      <c r="AK467" s="40"/>
      <c r="AL467" s="40"/>
      <c r="AM467" s="40"/>
      <c r="AN467" s="40"/>
      <c r="AO467" s="40"/>
      <c r="AP467" s="40"/>
    </row>
    <row r="468" spans="2:42" x14ac:dyDescent="0.2">
      <c r="B468" s="40"/>
      <c r="C468" s="40"/>
      <c r="D468" s="40"/>
      <c r="E468" s="40"/>
      <c r="F468" s="40"/>
      <c r="G468" s="40"/>
      <c r="H468" s="40"/>
      <c r="I468" s="40"/>
      <c r="J468" s="40"/>
      <c r="K468" s="40"/>
      <c r="L468" s="40"/>
      <c r="M468" s="40"/>
      <c r="N468" s="40"/>
      <c r="O468" s="40"/>
      <c r="P468" s="40"/>
      <c r="Q468" s="40"/>
      <c r="R468" s="40"/>
      <c r="S468" s="40"/>
      <c r="T468" s="40"/>
      <c r="U468" s="40"/>
      <c r="V468" s="40"/>
      <c r="W468" s="40"/>
      <c r="X468" s="40"/>
      <c r="Y468" s="40"/>
      <c r="Z468" s="40"/>
      <c r="AA468" s="40"/>
      <c r="AB468" s="40"/>
      <c r="AC468" s="40"/>
      <c r="AD468" s="40"/>
      <c r="AE468" s="40"/>
      <c r="AF468" s="40"/>
      <c r="AG468" s="40"/>
      <c r="AH468" s="40"/>
      <c r="AI468" s="40"/>
      <c r="AJ468" s="40"/>
      <c r="AK468" s="40"/>
      <c r="AL468" s="40"/>
      <c r="AM468" s="40"/>
      <c r="AN468" s="40"/>
      <c r="AO468" s="40"/>
      <c r="AP468" s="40"/>
    </row>
    <row r="469" spans="2:42" x14ac:dyDescent="0.2">
      <c r="B469" s="40"/>
      <c r="C469" s="40"/>
      <c r="D469" s="40"/>
      <c r="E469" s="40"/>
      <c r="F469" s="40"/>
      <c r="G469" s="40"/>
      <c r="H469" s="40"/>
      <c r="I469" s="40"/>
      <c r="J469" s="40"/>
      <c r="K469" s="40"/>
      <c r="L469" s="40"/>
      <c r="M469" s="40"/>
      <c r="N469" s="40"/>
      <c r="O469" s="40"/>
      <c r="P469" s="40"/>
      <c r="Q469" s="40"/>
      <c r="R469" s="40"/>
      <c r="S469" s="40"/>
      <c r="T469" s="40"/>
      <c r="U469" s="40"/>
      <c r="V469" s="40"/>
      <c r="W469" s="40"/>
      <c r="X469" s="40"/>
      <c r="Y469" s="40"/>
      <c r="Z469" s="40"/>
      <c r="AA469" s="40"/>
      <c r="AB469" s="40"/>
      <c r="AC469" s="40"/>
      <c r="AD469" s="40"/>
      <c r="AE469" s="40"/>
      <c r="AF469" s="40"/>
      <c r="AG469" s="40"/>
      <c r="AH469" s="40"/>
      <c r="AI469" s="40"/>
      <c r="AJ469" s="40"/>
      <c r="AK469" s="40"/>
      <c r="AL469" s="40"/>
      <c r="AM469" s="40"/>
      <c r="AN469" s="40"/>
      <c r="AO469" s="40"/>
      <c r="AP469" s="40"/>
    </row>
    <row r="470" spans="2:42" x14ac:dyDescent="0.2">
      <c r="B470" s="40"/>
      <c r="C470" s="40"/>
      <c r="D470" s="40"/>
      <c r="E470" s="40"/>
      <c r="F470" s="40"/>
      <c r="G470" s="40"/>
      <c r="H470" s="40"/>
      <c r="I470" s="40"/>
      <c r="J470" s="40"/>
      <c r="K470" s="40"/>
      <c r="L470" s="40"/>
      <c r="M470" s="40"/>
      <c r="N470" s="40"/>
      <c r="O470" s="40"/>
      <c r="P470" s="40"/>
      <c r="Q470" s="40"/>
      <c r="R470" s="40"/>
      <c r="S470" s="40"/>
      <c r="T470" s="40"/>
      <c r="U470" s="40"/>
      <c r="V470" s="40"/>
      <c r="W470" s="40"/>
      <c r="X470" s="40"/>
      <c r="Y470" s="40"/>
      <c r="Z470" s="40"/>
      <c r="AA470" s="40"/>
      <c r="AB470" s="40"/>
      <c r="AC470" s="40"/>
      <c r="AD470" s="40"/>
      <c r="AE470" s="40"/>
      <c r="AF470" s="40"/>
      <c r="AG470" s="40"/>
      <c r="AH470" s="40"/>
      <c r="AI470" s="40"/>
      <c r="AJ470" s="40"/>
      <c r="AK470" s="40"/>
      <c r="AL470" s="40"/>
      <c r="AM470" s="40"/>
      <c r="AN470" s="40"/>
      <c r="AO470" s="40"/>
      <c r="AP470" s="40"/>
    </row>
    <row r="471" spans="2:42" x14ac:dyDescent="0.2">
      <c r="B471" s="40"/>
      <c r="C471" s="40"/>
      <c r="D471" s="40"/>
      <c r="E471" s="40"/>
      <c r="F471" s="40"/>
      <c r="G471" s="40"/>
      <c r="H471" s="40"/>
      <c r="I471" s="40"/>
      <c r="J471" s="40"/>
      <c r="K471" s="40"/>
      <c r="L471" s="40"/>
      <c r="M471" s="40"/>
      <c r="N471" s="40"/>
      <c r="O471" s="40"/>
      <c r="P471" s="40"/>
      <c r="Q471" s="40"/>
      <c r="R471" s="40"/>
      <c r="S471" s="40"/>
      <c r="T471" s="40"/>
      <c r="U471" s="40"/>
      <c r="V471" s="40"/>
      <c r="W471" s="40"/>
      <c r="X471" s="40"/>
      <c r="Y471" s="40"/>
      <c r="Z471" s="40"/>
      <c r="AA471" s="40"/>
      <c r="AB471" s="40"/>
      <c r="AC471" s="40"/>
      <c r="AD471" s="40"/>
      <c r="AE471" s="40"/>
      <c r="AF471" s="40"/>
      <c r="AG471" s="40"/>
      <c r="AH471" s="40"/>
      <c r="AI471" s="40"/>
      <c r="AJ471" s="40"/>
      <c r="AK471" s="40"/>
      <c r="AL471" s="40"/>
      <c r="AM471" s="40"/>
      <c r="AN471" s="40"/>
      <c r="AO471" s="40"/>
      <c r="AP471" s="40"/>
    </row>
    <row r="472" spans="2:42" x14ac:dyDescent="0.2">
      <c r="B472" s="40"/>
      <c r="C472" s="40"/>
      <c r="D472" s="40"/>
      <c r="E472" s="40"/>
      <c r="F472" s="40"/>
      <c r="G472" s="40"/>
      <c r="H472" s="40"/>
      <c r="I472" s="40"/>
      <c r="J472" s="40"/>
      <c r="K472" s="40"/>
      <c r="L472" s="40"/>
      <c r="M472" s="40"/>
      <c r="N472" s="40"/>
      <c r="O472" s="40"/>
      <c r="P472" s="40"/>
      <c r="Q472" s="40"/>
      <c r="R472" s="40"/>
      <c r="S472" s="40"/>
      <c r="T472" s="40"/>
      <c r="U472" s="40"/>
      <c r="V472" s="40"/>
      <c r="W472" s="40"/>
      <c r="X472" s="40"/>
      <c r="Y472" s="40"/>
      <c r="Z472" s="40"/>
      <c r="AA472" s="40"/>
      <c r="AB472" s="40"/>
      <c r="AC472" s="40"/>
      <c r="AD472" s="40"/>
      <c r="AE472" s="40"/>
      <c r="AF472" s="40"/>
      <c r="AG472" s="40"/>
      <c r="AH472" s="40"/>
      <c r="AI472" s="40"/>
      <c r="AJ472" s="40"/>
      <c r="AK472" s="40"/>
      <c r="AL472" s="40"/>
      <c r="AM472" s="40"/>
      <c r="AN472" s="40"/>
      <c r="AO472" s="40"/>
      <c r="AP472" s="40"/>
    </row>
    <row r="473" spans="2:42" x14ac:dyDescent="0.2">
      <c r="B473" s="40"/>
      <c r="C473" s="40"/>
      <c r="D473" s="40"/>
      <c r="E473" s="40"/>
      <c r="F473" s="40"/>
      <c r="G473" s="40"/>
      <c r="H473" s="40"/>
      <c r="I473" s="40"/>
      <c r="J473" s="40"/>
      <c r="K473" s="40"/>
      <c r="L473" s="40"/>
      <c r="M473" s="40"/>
      <c r="N473" s="40"/>
      <c r="O473" s="40"/>
      <c r="P473" s="40"/>
      <c r="Q473" s="40"/>
      <c r="R473" s="40"/>
      <c r="S473" s="40"/>
      <c r="T473" s="40"/>
      <c r="U473" s="40"/>
      <c r="V473" s="40"/>
      <c r="W473" s="40"/>
      <c r="X473" s="40"/>
      <c r="Y473" s="40"/>
      <c r="Z473" s="40"/>
      <c r="AA473" s="40"/>
      <c r="AB473" s="40"/>
      <c r="AC473" s="40"/>
      <c r="AD473" s="40"/>
      <c r="AE473" s="40"/>
      <c r="AF473" s="40"/>
      <c r="AG473" s="40"/>
      <c r="AH473" s="40"/>
      <c r="AI473" s="40"/>
      <c r="AJ473" s="40"/>
      <c r="AK473" s="40"/>
      <c r="AL473" s="40"/>
      <c r="AM473" s="40"/>
      <c r="AN473" s="40"/>
      <c r="AO473" s="40"/>
      <c r="AP473" s="40"/>
    </row>
    <row r="474" spans="2:42" x14ac:dyDescent="0.2">
      <c r="B474" s="40"/>
      <c r="C474" s="40"/>
      <c r="D474" s="40"/>
      <c r="E474" s="40"/>
      <c r="F474" s="40"/>
      <c r="G474" s="40"/>
      <c r="H474" s="40"/>
      <c r="I474" s="40"/>
      <c r="J474" s="40"/>
      <c r="K474" s="40"/>
      <c r="L474" s="40"/>
      <c r="M474" s="40"/>
      <c r="N474" s="40"/>
      <c r="O474" s="40"/>
      <c r="P474" s="40"/>
      <c r="Q474" s="40"/>
      <c r="R474" s="40"/>
      <c r="S474" s="40"/>
      <c r="T474" s="40"/>
      <c r="U474" s="40"/>
      <c r="V474" s="40"/>
      <c r="W474" s="40"/>
      <c r="X474" s="40"/>
      <c r="Y474" s="40"/>
      <c r="Z474" s="40"/>
      <c r="AA474" s="40"/>
      <c r="AB474" s="40"/>
      <c r="AC474" s="40"/>
      <c r="AD474" s="40"/>
      <c r="AE474" s="40"/>
      <c r="AF474" s="40"/>
      <c r="AG474" s="40"/>
      <c r="AH474" s="40"/>
      <c r="AI474" s="40"/>
      <c r="AJ474" s="40"/>
      <c r="AK474" s="40"/>
      <c r="AL474" s="40"/>
      <c r="AM474" s="40"/>
      <c r="AN474" s="40"/>
      <c r="AO474" s="40"/>
      <c r="AP474" s="40"/>
    </row>
    <row r="475" spans="2:42" x14ac:dyDescent="0.2">
      <c r="B475" s="40"/>
      <c r="C475" s="40"/>
      <c r="D475" s="40"/>
      <c r="E475" s="40"/>
      <c r="F475" s="40"/>
      <c r="G475" s="40"/>
      <c r="H475" s="40"/>
      <c r="I475" s="40"/>
      <c r="J475" s="40"/>
      <c r="K475" s="40"/>
      <c r="L475" s="40"/>
      <c r="M475" s="40"/>
      <c r="N475" s="40"/>
      <c r="O475" s="40"/>
      <c r="P475" s="40"/>
      <c r="Q475" s="40"/>
      <c r="R475" s="40"/>
      <c r="S475" s="40"/>
      <c r="T475" s="40"/>
      <c r="U475" s="40"/>
      <c r="V475" s="40"/>
      <c r="W475" s="40"/>
      <c r="X475" s="40"/>
      <c r="Y475" s="40"/>
      <c r="Z475" s="40"/>
      <c r="AA475" s="40"/>
      <c r="AB475" s="40"/>
      <c r="AC475" s="40"/>
      <c r="AD475" s="40"/>
      <c r="AE475" s="40"/>
      <c r="AF475" s="40"/>
      <c r="AG475" s="40"/>
      <c r="AH475" s="40"/>
      <c r="AI475" s="40"/>
      <c r="AJ475" s="40"/>
      <c r="AK475" s="40"/>
      <c r="AL475" s="40"/>
      <c r="AM475" s="40"/>
      <c r="AN475" s="40"/>
      <c r="AO475" s="40"/>
      <c r="AP475" s="40"/>
    </row>
    <row r="476" spans="2:42" x14ac:dyDescent="0.2">
      <c r="B476" s="40"/>
      <c r="C476" s="40"/>
      <c r="D476" s="40"/>
      <c r="E476" s="40"/>
      <c r="F476" s="40"/>
      <c r="G476" s="40"/>
      <c r="H476" s="40"/>
      <c r="I476" s="40"/>
      <c r="J476" s="40"/>
      <c r="K476" s="40"/>
      <c r="L476" s="40"/>
      <c r="M476" s="40"/>
      <c r="N476" s="40"/>
      <c r="O476" s="40"/>
      <c r="P476" s="40"/>
      <c r="Q476" s="40"/>
      <c r="R476" s="40"/>
      <c r="S476" s="40"/>
      <c r="T476" s="40"/>
      <c r="U476" s="40"/>
      <c r="V476" s="40"/>
      <c r="W476" s="40"/>
      <c r="X476" s="40"/>
      <c r="Y476" s="40"/>
      <c r="Z476" s="40"/>
      <c r="AA476" s="40"/>
      <c r="AB476" s="40"/>
      <c r="AC476" s="40"/>
      <c r="AD476" s="40"/>
      <c r="AE476" s="40"/>
      <c r="AF476" s="40"/>
      <c r="AG476" s="40"/>
      <c r="AH476" s="40"/>
      <c r="AI476" s="40"/>
      <c r="AJ476" s="40"/>
      <c r="AK476" s="40"/>
      <c r="AL476" s="40"/>
      <c r="AM476" s="40"/>
      <c r="AN476" s="40"/>
      <c r="AO476" s="40"/>
      <c r="AP476" s="40"/>
    </row>
    <row r="477" spans="2:42" x14ac:dyDescent="0.2">
      <c r="B477" s="40"/>
      <c r="C477" s="40"/>
      <c r="D477" s="40"/>
      <c r="E477" s="40"/>
      <c r="F477" s="40"/>
      <c r="G477" s="40"/>
      <c r="H477" s="40"/>
      <c r="I477" s="40"/>
      <c r="J477" s="40"/>
      <c r="K477" s="40"/>
      <c r="L477" s="40"/>
      <c r="M477" s="40"/>
      <c r="N477" s="40"/>
      <c r="O477" s="40"/>
      <c r="P477" s="40"/>
      <c r="Q477" s="40"/>
      <c r="R477" s="40"/>
      <c r="S477" s="40"/>
      <c r="T477" s="40"/>
      <c r="U477" s="40"/>
      <c r="V477" s="40"/>
      <c r="W477" s="40"/>
      <c r="X477" s="40"/>
      <c r="Y477" s="40"/>
      <c r="Z477" s="40"/>
      <c r="AA477" s="40"/>
      <c r="AB477" s="40"/>
      <c r="AC477" s="40"/>
      <c r="AD477" s="40"/>
      <c r="AE477" s="40"/>
      <c r="AF477" s="40"/>
      <c r="AG477" s="40"/>
      <c r="AH477" s="40"/>
      <c r="AI477" s="40"/>
      <c r="AJ477" s="40"/>
      <c r="AK477" s="40"/>
      <c r="AL477" s="40"/>
      <c r="AM477" s="40"/>
      <c r="AN477" s="40"/>
      <c r="AO477" s="40"/>
      <c r="AP477" s="40"/>
    </row>
    <row r="478" spans="2:42" x14ac:dyDescent="0.2">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c r="AK478" s="40"/>
      <c r="AL478" s="40"/>
      <c r="AM478" s="40"/>
      <c r="AN478" s="40"/>
      <c r="AO478" s="40"/>
      <c r="AP478" s="40"/>
    </row>
    <row r="479" spans="2:42" x14ac:dyDescent="0.2">
      <c r="B479" s="40"/>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c r="AA479" s="40"/>
      <c r="AB479" s="40"/>
      <c r="AC479" s="40"/>
      <c r="AD479" s="40"/>
      <c r="AE479" s="40"/>
      <c r="AF479" s="40"/>
      <c r="AG479" s="40"/>
      <c r="AH479" s="40"/>
      <c r="AI479" s="40"/>
      <c r="AJ479" s="40"/>
      <c r="AK479" s="40"/>
      <c r="AL479" s="40"/>
      <c r="AM479" s="40"/>
      <c r="AN479" s="40"/>
      <c r="AO479" s="40"/>
      <c r="AP479" s="40"/>
    </row>
    <row r="480" spans="2:42" x14ac:dyDescent="0.2">
      <c r="B480" s="40"/>
      <c r="C480" s="40"/>
      <c r="D480" s="40"/>
      <c r="E480" s="40"/>
      <c r="F480" s="40"/>
      <c r="G480" s="40"/>
      <c r="H480" s="40"/>
      <c r="I480" s="40"/>
      <c r="J480" s="40"/>
      <c r="K480" s="40"/>
      <c r="L480" s="40"/>
      <c r="M480" s="40"/>
      <c r="N480" s="40"/>
      <c r="O480" s="40"/>
      <c r="P480" s="40"/>
      <c r="Q480" s="40"/>
      <c r="R480" s="40"/>
      <c r="S480" s="40"/>
      <c r="T480" s="40"/>
      <c r="U480" s="40"/>
      <c r="V480" s="40"/>
      <c r="W480" s="40"/>
      <c r="X480" s="40"/>
      <c r="Y480" s="40"/>
      <c r="Z480" s="40"/>
      <c r="AA480" s="40"/>
      <c r="AB480" s="40"/>
      <c r="AC480" s="40"/>
      <c r="AD480" s="40"/>
      <c r="AE480" s="40"/>
      <c r="AF480" s="40"/>
      <c r="AG480" s="40"/>
      <c r="AH480" s="40"/>
      <c r="AI480" s="40"/>
      <c r="AJ480" s="40"/>
      <c r="AK480" s="40"/>
      <c r="AL480" s="40"/>
      <c r="AM480" s="40"/>
      <c r="AN480" s="40"/>
      <c r="AO480" s="40"/>
      <c r="AP480" s="40"/>
    </row>
    <row r="481" spans="2:42" x14ac:dyDescent="0.2">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c r="AK481" s="40"/>
      <c r="AL481" s="40"/>
      <c r="AM481" s="40"/>
      <c r="AN481" s="40"/>
      <c r="AO481" s="40"/>
      <c r="AP481" s="40"/>
    </row>
    <row r="482" spans="2:42" x14ac:dyDescent="0.2">
      <c r="B482" s="40"/>
      <c r="C482" s="40"/>
      <c r="D482" s="40"/>
      <c r="E482" s="40"/>
      <c r="F482" s="40"/>
      <c r="G482" s="40"/>
      <c r="H482" s="40"/>
      <c r="I482" s="40"/>
      <c r="J482" s="40"/>
      <c r="K482" s="40"/>
      <c r="L482" s="40"/>
      <c r="M482" s="40"/>
      <c r="N482" s="40"/>
      <c r="O482" s="40"/>
      <c r="P482" s="40"/>
      <c r="Q482" s="40"/>
      <c r="R482" s="40"/>
      <c r="S482" s="40"/>
      <c r="T482" s="40"/>
      <c r="U482" s="40"/>
      <c r="V482" s="40"/>
      <c r="W482" s="40"/>
      <c r="X482" s="40"/>
      <c r="Y482" s="40"/>
      <c r="Z482" s="40"/>
      <c r="AA482" s="40"/>
      <c r="AB482" s="40"/>
      <c r="AC482" s="40"/>
      <c r="AD482" s="40"/>
      <c r="AE482" s="40"/>
      <c r="AF482" s="40"/>
      <c r="AG482" s="40"/>
      <c r="AH482" s="40"/>
      <c r="AI482" s="40"/>
      <c r="AJ482" s="40"/>
      <c r="AK482" s="40"/>
      <c r="AL482" s="40"/>
      <c r="AM482" s="40"/>
      <c r="AN482" s="40"/>
      <c r="AO482" s="40"/>
      <c r="AP482" s="40"/>
    </row>
    <row r="483" spans="2:42" x14ac:dyDescent="0.2">
      <c r="B483" s="40"/>
      <c r="C483" s="40"/>
      <c r="D483" s="40"/>
      <c r="E483" s="40"/>
      <c r="F483" s="40"/>
      <c r="G483" s="40"/>
      <c r="H483" s="40"/>
      <c r="I483" s="40"/>
      <c r="J483" s="40"/>
      <c r="K483" s="40"/>
      <c r="L483" s="40"/>
      <c r="M483" s="40"/>
      <c r="N483" s="40"/>
      <c r="O483" s="40"/>
      <c r="P483" s="40"/>
      <c r="Q483" s="40"/>
      <c r="R483" s="40"/>
      <c r="S483" s="40"/>
      <c r="T483" s="40"/>
      <c r="U483" s="40"/>
      <c r="V483" s="40"/>
      <c r="W483" s="40"/>
      <c r="X483" s="40"/>
      <c r="Y483" s="40"/>
      <c r="Z483" s="40"/>
      <c r="AA483" s="40"/>
      <c r="AB483" s="40"/>
      <c r="AC483" s="40"/>
      <c r="AD483" s="40"/>
      <c r="AE483" s="40"/>
      <c r="AF483" s="40"/>
      <c r="AG483" s="40"/>
      <c r="AH483" s="40"/>
      <c r="AI483" s="40"/>
      <c r="AJ483" s="40"/>
      <c r="AK483" s="40"/>
      <c r="AL483" s="40"/>
      <c r="AM483" s="40"/>
      <c r="AN483" s="40"/>
      <c r="AO483" s="40"/>
      <c r="AP483" s="40"/>
    </row>
    <row r="484" spans="2:42" x14ac:dyDescent="0.2">
      <c r="B484" s="40"/>
      <c r="C484" s="40"/>
      <c r="D484" s="40"/>
      <c r="E484" s="40"/>
      <c r="F484" s="40"/>
      <c r="G484" s="40"/>
      <c r="H484" s="40"/>
      <c r="I484" s="40"/>
      <c r="J484" s="40"/>
      <c r="K484" s="40"/>
      <c r="L484" s="40"/>
      <c r="M484" s="40"/>
      <c r="N484" s="40"/>
      <c r="O484" s="40"/>
      <c r="P484" s="40"/>
      <c r="Q484" s="40"/>
      <c r="R484" s="40"/>
      <c r="S484" s="40"/>
      <c r="T484" s="40"/>
      <c r="U484" s="40"/>
      <c r="V484" s="40"/>
      <c r="W484" s="40"/>
      <c r="X484" s="40"/>
      <c r="Y484" s="40"/>
      <c r="Z484" s="40"/>
      <c r="AA484" s="40"/>
      <c r="AB484" s="40"/>
      <c r="AC484" s="40"/>
      <c r="AD484" s="40"/>
      <c r="AE484" s="40"/>
      <c r="AF484" s="40"/>
      <c r="AG484" s="40"/>
      <c r="AH484" s="40"/>
      <c r="AI484" s="40"/>
      <c r="AJ484" s="40"/>
      <c r="AK484" s="40"/>
      <c r="AL484" s="40"/>
      <c r="AM484" s="40"/>
      <c r="AN484" s="40"/>
      <c r="AO484" s="40"/>
      <c r="AP484" s="40"/>
    </row>
    <row r="485" spans="2:42" x14ac:dyDescent="0.2">
      <c r="B485" s="40"/>
      <c r="C485" s="40"/>
      <c r="D485" s="40"/>
      <c r="E485" s="40"/>
      <c r="F485" s="40"/>
      <c r="G485" s="40"/>
      <c r="H485" s="40"/>
      <c r="I485" s="40"/>
      <c r="J485" s="40"/>
      <c r="K485" s="40"/>
      <c r="L485" s="40"/>
      <c r="M485" s="40"/>
      <c r="N485" s="40"/>
      <c r="O485" s="40"/>
      <c r="P485" s="40"/>
      <c r="Q485" s="40"/>
      <c r="R485" s="40"/>
      <c r="S485" s="40"/>
      <c r="T485" s="40"/>
      <c r="U485" s="40"/>
      <c r="V485" s="40"/>
      <c r="W485" s="40"/>
      <c r="X485" s="40"/>
      <c r="Y485" s="40"/>
      <c r="Z485" s="40"/>
      <c r="AA485" s="40"/>
      <c r="AB485" s="40"/>
      <c r="AC485" s="40"/>
      <c r="AD485" s="40"/>
      <c r="AE485" s="40"/>
      <c r="AF485" s="40"/>
      <c r="AG485" s="40"/>
      <c r="AH485" s="40"/>
      <c r="AI485" s="40"/>
      <c r="AJ485" s="40"/>
      <c r="AK485" s="40"/>
      <c r="AL485" s="40"/>
      <c r="AM485" s="40"/>
      <c r="AN485" s="40"/>
      <c r="AO485" s="40"/>
      <c r="AP485" s="40"/>
    </row>
    <row r="486" spans="2:42" x14ac:dyDescent="0.2">
      <c r="B486" s="40"/>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c r="AA486" s="40"/>
      <c r="AB486" s="40"/>
      <c r="AC486" s="40"/>
      <c r="AD486" s="40"/>
      <c r="AE486" s="40"/>
      <c r="AF486" s="40"/>
      <c r="AG486" s="40"/>
      <c r="AH486" s="40"/>
      <c r="AI486" s="40"/>
      <c r="AJ486" s="40"/>
      <c r="AK486" s="40"/>
      <c r="AL486" s="40"/>
      <c r="AM486" s="40"/>
      <c r="AN486" s="40"/>
      <c r="AO486" s="40"/>
      <c r="AP486" s="40"/>
    </row>
    <row r="487" spans="2:42" x14ac:dyDescent="0.2">
      <c r="B487" s="40"/>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c r="AA487" s="40"/>
      <c r="AB487" s="40"/>
      <c r="AC487" s="40"/>
      <c r="AD487" s="40"/>
      <c r="AE487" s="40"/>
      <c r="AF487" s="40"/>
      <c r="AG487" s="40"/>
      <c r="AH487" s="40"/>
      <c r="AI487" s="40"/>
      <c r="AJ487" s="40"/>
      <c r="AK487" s="40"/>
      <c r="AL487" s="40"/>
      <c r="AM487" s="40"/>
      <c r="AN487" s="40"/>
      <c r="AO487" s="40"/>
      <c r="AP487" s="40"/>
    </row>
    <row r="488" spans="2:42" x14ac:dyDescent="0.2">
      <c r="B488" s="40"/>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c r="AA488" s="40"/>
      <c r="AB488" s="40"/>
      <c r="AC488" s="40"/>
      <c r="AD488" s="40"/>
      <c r="AE488" s="40"/>
      <c r="AF488" s="40"/>
      <c r="AG488" s="40"/>
      <c r="AH488" s="40"/>
      <c r="AI488" s="40"/>
      <c r="AJ488" s="40"/>
      <c r="AK488" s="40"/>
      <c r="AL488" s="40"/>
      <c r="AM488" s="40"/>
      <c r="AN488" s="40"/>
      <c r="AO488" s="40"/>
      <c r="AP488" s="40"/>
    </row>
    <row r="489" spans="2:42" x14ac:dyDescent="0.2">
      <c r="B489" s="40"/>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c r="AA489" s="40"/>
      <c r="AB489" s="40"/>
      <c r="AC489" s="40"/>
      <c r="AD489" s="40"/>
      <c r="AE489" s="40"/>
      <c r="AF489" s="40"/>
      <c r="AG489" s="40"/>
      <c r="AH489" s="40"/>
      <c r="AI489" s="40"/>
      <c r="AJ489" s="40"/>
      <c r="AK489" s="40"/>
      <c r="AL489" s="40"/>
      <c r="AM489" s="40"/>
      <c r="AN489" s="40"/>
      <c r="AO489" s="40"/>
      <c r="AP489" s="40"/>
    </row>
    <row r="490" spans="2:42" x14ac:dyDescent="0.2">
      <c r="B490" s="40"/>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c r="AA490" s="40"/>
      <c r="AB490" s="40"/>
      <c r="AC490" s="40"/>
      <c r="AD490" s="40"/>
      <c r="AE490" s="40"/>
      <c r="AF490" s="40"/>
      <c r="AG490" s="40"/>
      <c r="AH490" s="40"/>
      <c r="AI490" s="40"/>
      <c r="AJ490" s="40"/>
      <c r="AK490" s="40"/>
      <c r="AL490" s="40"/>
      <c r="AM490" s="40"/>
      <c r="AN490" s="40"/>
      <c r="AO490" s="40"/>
      <c r="AP490" s="40"/>
    </row>
    <row r="491" spans="2:42" x14ac:dyDescent="0.2">
      <c r="B491" s="40"/>
      <c r="C491" s="40"/>
      <c r="D491" s="40"/>
      <c r="E491" s="40"/>
      <c r="F491" s="40"/>
      <c r="G491" s="40"/>
      <c r="H491" s="40"/>
      <c r="I491" s="40"/>
      <c r="J491" s="40"/>
      <c r="K491" s="40"/>
      <c r="L491" s="40"/>
      <c r="M491" s="40"/>
      <c r="N491" s="40"/>
      <c r="O491" s="40"/>
      <c r="P491" s="40"/>
      <c r="Q491" s="40"/>
      <c r="R491" s="40"/>
      <c r="S491" s="40"/>
      <c r="T491" s="40"/>
      <c r="U491" s="40"/>
      <c r="V491" s="40"/>
      <c r="W491" s="40"/>
      <c r="X491" s="40"/>
      <c r="Y491" s="40"/>
      <c r="Z491" s="40"/>
      <c r="AA491" s="40"/>
      <c r="AB491" s="40"/>
      <c r="AC491" s="40"/>
      <c r="AD491" s="40"/>
      <c r="AE491" s="40"/>
      <c r="AF491" s="40"/>
      <c r="AG491" s="40"/>
      <c r="AH491" s="40"/>
      <c r="AI491" s="40"/>
      <c r="AJ491" s="40"/>
      <c r="AK491" s="40"/>
      <c r="AL491" s="40"/>
      <c r="AM491" s="40"/>
      <c r="AN491" s="40"/>
      <c r="AO491" s="40"/>
      <c r="AP491" s="40"/>
    </row>
    <row r="492" spans="2:42" x14ac:dyDescent="0.2">
      <c r="B492" s="40"/>
      <c r="C492" s="40"/>
      <c r="D492" s="40"/>
      <c r="E492" s="40"/>
      <c r="F492" s="40"/>
      <c r="G492" s="40"/>
      <c r="H492" s="40"/>
      <c r="I492" s="40"/>
      <c r="J492" s="40"/>
      <c r="K492" s="40"/>
      <c r="L492" s="40"/>
      <c r="M492" s="40"/>
      <c r="N492" s="40"/>
      <c r="O492" s="40"/>
      <c r="P492" s="40"/>
      <c r="Q492" s="40"/>
      <c r="R492" s="40"/>
      <c r="S492" s="40"/>
      <c r="T492" s="40"/>
      <c r="U492" s="40"/>
      <c r="V492" s="40"/>
      <c r="W492" s="40"/>
      <c r="X492" s="40"/>
      <c r="Y492" s="40"/>
      <c r="Z492" s="40"/>
      <c r="AA492" s="40"/>
      <c r="AB492" s="40"/>
      <c r="AC492" s="40"/>
      <c r="AD492" s="40"/>
      <c r="AE492" s="40"/>
      <c r="AF492" s="40"/>
      <c r="AG492" s="40"/>
      <c r="AH492" s="40"/>
      <c r="AI492" s="40"/>
      <c r="AJ492" s="40"/>
      <c r="AK492" s="40"/>
      <c r="AL492" s="40"/>
      <c r="AM492" s="40"/>
      <c r="AN492" s="40"/>
      <c r="AO492" s="40"/>
      <c r="AP492" s="40"/>
    </row>
    <row r="493" spans="2:42" x14ac:dyDescent="0.2">
      <c r="B493" s="40"/>
      <c r="C493" s="40"/>
      <c r="D493" s="40"/>
      <c r="E493" s="40"/>
      <c r="F493" s="40"/>
      <c r="G493" s="40"/>
      <c r="H493" s="40"/>
      <c r="I493" s="40"/>
      <c r="J493" s="40"/>
      <c r="K493" s="40"/>
      <c r="L493" s="40"/>
      <c r="M493" s="40"/>
      <c r="N493" s="40"/>
      <c r="O493" s="40"/>
      <c r="P493" s="40"/>
      <c r="Q493" s="40"/>
      <c r="R493" s="40"/>
      <c r="S493" s="40"/>
      <c r="T493" s="40"/>
      <c r="U493" s="40"/>
      <c r="V493" s="40"/>
      <c r="W493" s="40"/>
      <c r="X493" s="40"/>
      <c r="Y493" s="40"/>
      <c r="Z493" s="40"/>
      <c r="AA493" s="40"/>
      <c r="AB493" s="40"/>
      <c r="AC493" s="40"/>
      <c r="AD493" s="40"/>
      <c r="AE493" s="40"/>
      <c r="AF493" s="40"/>
      <c r="AG493" s="40"/>
      <c r="AH493" s="40"/>
      <c r="AI493" s="40"/>
      <c r="AJ493" s="40"/>
      <c r="AK493" s="40"/>
      <c r="AL493" s="40"/>
      <c r="AM493" s="40"/>
      <c r="AN493" s="40"/>
      <c r="AO493" s="40"/>
      <c r="AP493" s="40"/>
    </row>
    <row r="494" spans="2:42" x14ac:dyDescent="0.2">
      <c r="B494" s="40"/>
      <c r="C494" s="40"/>
      <c r="D494" s="40"/>
      <c r="E494" s="40"/>
      <c r="F494" s="40"/>
      <c r="G494" s="40"/>
      <c r="H494" s="40"/>
      <c r="I494" s="40"/>
      <c r="J494" s="40"/>
      <c r="K494" s="40"/>
      <c r="L494" s="40"/>
      <c r="M494" s="40"/>
      <c r="N494" s="40"/>
      <c r="O494" s="40"/>
      <c r="P494" s="40"/>
      <c r="Q494" s="40"/>
      <c r="R494" s="40"/>
      <c r="S494" s="40"/>
      <c r="T494" s="40"/>
      <c r="U494" s="40"/>
      <c r="V494" s="40"/>
      <c r="W494" s="40"/>
      <c r="X494" s="40"/>
      <c r="Y494" s="40"/>
      <c r="Z494" s="40"/>
      <c r="AA494" s="40"/>
      <c r="AB494" s="40"/>
      <c r="AC494" s="40"/>
      <c r="AD494" s="40"/>
      <c r="AE494" s="40"/>
      <c r="AF494" s="40"/>
      <c r="AG494" s="40"/>
      <c r="AH494" s="40"/>
      <c r="AI494" s="40"/>
      <c r="AJ494" s="40"/>
      <c r="AK494" s="40"/>
      <c r="AL494" s="40"/>
      <c r="AM494" s="40"/>
      <c r="AN494" s="40"/>
      <c r="AO494" s="40"/>
      <c r="AP494" s="40"/>
    </row>
    <row r="495" spans="2:42" x14ac:dyDescent="0.2">
      <c r="B495" s="40"/>
      <c r="C495" s="40"/>
      <c r="D495" s="40"/>
      <c r="E495" s="40"/>
      <c r="F495" s="40"/>
      <c r="G495" s="40"/>
      <c r="H495" s="40"/>
      <c r="I495" s="40"/>
      <c r="J495" s="40"/>
      <c r="K495" s="40"/>
      <c r="L495" s="40"/>
      <c r="M495" s="40"/>
      <c r="N495" s="40"/>
      <c r="O495" s="40"/>
      <c r="P495" s="40"/>
      <c r="Q495" s="40"/>
      <c r="R495" s="40"/>
      <c r="S495" s="40"/>
      <c r="T495" s="40"/>
      <c r="U495" s="40"/>
      <c r="V495" s="40"/>
      <c r="W495" s="40"/>
      <c r="X495" s="40"/>
      <c r="Y495" s="40"/>
      <c r="Z495" s="40"/>
      <c r="AA495" s="40"/>
      <c r="AB495" s="40"/>
      <c r="AC495" s="40"/>
      <c r="AD495" s="40"/>
      <c r="AE495" s="40"/>
      <c r="AF495" s="40"/>
      <c r="AG495" s="40"/>
      <c r="AH495" s="40"/>
      <c r="AI495" s="40"/>
      <c r="AJ495" s="40"/>
      <c r="AK495" s="40"/>
      <c r="AL495" s="40"/>
      <c r="AM495" s="40"/>
      <c r="AN495" s="40"/>
      <c r="AO495" s="40"/>
      <c r="AP495" s="40"/>
    </row>
    <row r="496" spans="2:42" x14ac:dyDescent="0.2">
      <c r="B496" s="40"/>
      <c r="C496" s="40"/>
      <c r="D496" s="40"/>
      <c r="E496" s="40"/>
      <c r="F496" s="40"/>
      <c r="G496" s="40"/>
      <c r="H496" s="40"/>
      <c r="I496" s="40"/>
      <c r="J496" s="40"/>
      <c r="K496" s="40"/>
      <c r="L496" s="40"/>
      <c r="M496" s="40"/>
      <c r="N496" s="40"/>
      <c r="O496" s="40"/>
      <c r="P496" s="40"/>
      <c r="Q496" s="40"/>
      <c r="R496" s="40"/>
      <c r="S496" s="40"/>
      <c r="T496" s="40"/>
      <c r="U496" s="40"/>
      <c r="V496" s="40"/>
      <c r="W496" s="40"/>
      <c r="X496" s="40"/>
      <c r="Y496" s="40"/>
      <c r="Z496" s="40"/>
      <c r="AA496" s="40"/>
      <c r="AB496" s="40"/>
      <c r="AC496" s="40"/>
      <c r="AD496" s="40"/>
      <c r="AE496" s="40"/>
      <c r="AF496" s="40"/>
      <c r="AG496" s="40"/>
      <c r="AH496" s="40"/>
      <c r="AI496" s="40"/>
      <c r="AJ496" s="40"/>
      <c r="AK496" s="40"/>
      <c r="AL496" s="40"/>
      <c r="AM496" s="40"/>
      <c r="AN496" s="40"/>
      <c r="AO496" s="40"/>
      <c r="AP496" s="40"/>
    </row>
    <row r="497" spans="2:42" x14ac:dyDescent="0.2">
      <c r="B497" s="40"/>
      <c r="C497" s="40"/>
      <c r="D497" s="40"/>
      <c r="E497" s="40"/>
      <c r="F497" s="40"/>
      <c r="G497" s="40"/>
      <c r="H497" s="40"/>
      <c r="I497" s="40"/>
      <c r="J497" s="40"/>
      <c r="K497" s="40"/>
      <c r="L497" s="40"/>
      <c r="M497" s="40"/>
      <c r="N497" s="40"/>
      <c r="O497" s="40"/>
      <c r="P497" s="40"/>
      <c r="Q497" s="40"/>
      <c r="R497" s="40"/>
      <c r="S497" s="40"/>
      <c r="T497" s="40"/>
      <c r="U497" s="40"/>
      <c r="V497" s="40"/>
      <c r="W497" s="40"/>
      <c r="X497" s="40"/>
      <c r="Y497" s="40"/>
      <c r="Z497" s="40"/>
      <c r="AA497" s="40"/>
      <c r="AB497" s="40"/>
      <c r="AC497" s="40"/>
      <c r="AD497" s="40"/>
      <c r="AE497" s="40"/>
      <c r="AF497" s="40"/>
      <c r="AG497" s="40"/>
      <c r="AH497" s="40"/>
      <c r="AI497" s="40"/>
      <c r="AJ497" s="40"/>
      <c r="AK497" s="40"/>
      <c r="AL497" s="40"/>
      <c r="AM497" s="40"/>
      <c r="AN497" s="40"/>
      <c r="AO497" s="40"/>
      <c r="AP497" s="40"/>
    </row>
    <row r="498" spans="2:42" x14ac:dyDescent="0.2">
      <c r="B498" s="40"/>
      <c r="C498" s="40"/>
      <c r="D498" s="40"/>
      <c r="E498" s="40"/>
      <c r="F498" s="40"/>
      <c r="G498" s="40"/>
      <c r="H498" s="40"/>
      <c r="I498" s="40"/>
      <c r="J498" s="40"/>
      <c r="K498" s="40"/>
      <c r="L498" s="40"/>
      <c r="M498" s="40"/>
      <c r="N498" s="40"/>
      <c r="O498" s="40"/>
      <c r="P498" s="40"/>
      <c r="Q498" s="40"/>
      <c r="R498" s="40"/>
      <c r="S498" s="40"/>
      <c r="T498" s="40"/>
      <c r="U498" s="40"/>
      <c r="V498" s="40"/>
      <c r="W498" s="40"/>
      <c r="X498" s="40"/>
      <c r="Y498" s="40"/>
      <c r="Z498" s="40"/>
      <c r="AA498" s="40"/>
      <c r="AB498" s="40"/>
      <c r="AC498" s="40"/>
      <c r="AD498" s="40"/>
      <c r="AE498" s="40"/>
      <c r="AF498" s="40"/>
      <c r="AG498" s="40"/>
      <c r="AH498" s="40"/>
      <c r="AI498" s="40"/>
      <c r="AJ498" s="40"/>
      <c r="AK498" s="40"/>
      <c r="AL498" s="40"/>
      <c r="AM498" s="40"/>
      <c r="AN498" s="40"/>
      <c r="AO498" s="40"/>
      <c r="AP498" s="40"/>
    </row>
    <row r="499" spans="2:42" x14ac:dyDescent="0.2">
      <c r="B499" s="40"/>
      <c r="C499" s="40"/>
      <c r="D499" s="40"/>
      <c r="E499" s="40"/>
      <c r="F499" s="40"/>
      <c r="G499" s="40"/>
      <c r="H499" s="40"/>
      <c r="I499" s="40"/>
      <c r="J499" s="40"/>
      <c r="K499" s="40"/>
      <c r="L499" s="40"/>
      <c r="M499" s="40"/>
      <c r="N499" s="40"/>
      <c r="O499" s="40"/>
      <c r="P499" s="40"/>
      <c r="Q499" s="40"/>
      <c r="R499" s="40"/>
      <c r="S499" s="40"/>
      <c r="T499" s="40"/>
      <c r="U499" s="40"/>
      <c r="V499" s="40"/>
      <c r="W499" s="40"/>
      <c r="X499" s="40"/>
      <c r="Y499" s="40"/>
      <c r="Z499" s="40"/>
      <c r="AA499" s="40"/>
      <c r="AB499" s="40"/>
      <c r="AC499" s="40"/>
      <c r="AD499" s="40"/>
      <c r="AE499" s="40"/>
      <c r="AF499" s="40"/>
      <c r="AG499" s="40"/>
      <c r="AH499" s="40"/>
      <c r="AI499" s="40"/>
      <c r="AJ499" s="40"/>
      <c r="AK499" s="40"/>
      <c r="AL499" s="40"/>
      <c r="AM499" s="40"/>
      <c r="AN499" s="40"/>
      <c r="AO499" s="40"/>
      <c r="AP499" s="40"/>
    </row>
    <row r="500" spans="2:42" x14ac:dyDescent="0.2">
      <c r="B500" s="40"/>
      <c r="C500" s="40"/>
      <c r="D500" s="40"/>
      <c r="E500" s="40"/>
      <c r="F500" s="40"/>
      <c r="G500" s="40"/>
      <c r="H500" s="40"/>
      <c r="I500" s="40"/>
      <c r="J500" s="40"/>
      <c r="K500" s="40"/>
      <c r="L500" s="40"/>
      <c r="M500" s="40"/>
      <c r="N500" s="40"/>
      <c r="O500" s="40"/>
      <c r="P500" s="40"/>
      <c r="Q500" s="40"/>
      <c r="R500" s="40"/>
      <c r="S500" s="40"/>
      <c r="T500" s="40"/>
      <c r="U500" s="40"/>
      <c r="V500" s="40"/>
      <c r="W500" s="40"/>
      <c r="X500" s="40"/>
      <c r="Y500" s="40"/>
      <c r="Z500" s="40"/>
      <c r="AA500" s="40"/>
      <c r="AB500" s="40"/>
      <c r="AC500" s="40"/>
      <c r="AD500" s="40"/>
      <c r="AE500" s="40"/>
      <c r="AF500" s="40"/>
      <c r="AG500" s="40"/>
      <c r="AH500" s="40"/>
      <c r="AI500" s="40"/>
      <c r="AJ500" s="40"/>
      <c r="AK500" s="40"/>
      <c r="AL500" s="40"/>
      <c r="AM500" s="40"/>
      <c r="AN500" s="40"/>
      <c r="AO500" s="40"/>
      <c r="AP500" s="40"/>
    </row>
    <row r="501" spans="2:42" x14ac:dyDescent="0.2">
      <c r="B501" s="40"/>
      <c r="C501" s="40"/>
      <c r="D501" s="40"/>
      <c r="E501" s="40"/>
      <c r="F501" s="40"/>
      <c r="G501" s="40"/>
      <c r="H501" s="40"/>
      <c r="I501" s="40"/>
      <c r="J501" s="40"/>
      <c r="K501" s="40"/>
      <c r="L501" s="40"/>
      <c r="M501" s="40"/>
      <c r="N501" s="40"/>
      <c r="O501" s="40"/>
      <c r="P501" s="40"/>
      <c r="Q501" s="40"/>
      <c r="R501" s="40"/>
      <c r="S501" s="40"/>
      <c r="T501" s="40"/>
      <c r="U501" s="40"/>
      <c r="V501" s="40"/>
      <c r="W501" s="40"/>
      <c r="X501" s="40"/>
      <c r="Y501" s="40"/>
      <c r="Z501" s="40"/>
      <c r="AA501" s="40"/>
      <c r="AB501" s="40"/>
      <c r="AC501" s="40"/>
      <c r="AD501" s="40"/>
      <c r="AE501" s="40"/>
      <c r="AF501" s="40"/>
      <c r="AG501" s="40"/>
      <c r="AH501" s="40"/>
      <c r="AI501" s="40"/>
      <c r="AJ501" s="40"/>
      <c r="AK501" s="40"/>
      <c r="AL501" s="40"/>
      <c r="AM501" s="40"/>
      <c r="AN501" s="40"/>
      <c r="AO501" s="40"/>
      <c r="AP501" s="40"/>
    </row>
    <row r="502" spans="2:42" x14ac:dyDescent="0.2">
      <c r="B502" s="40"/>
      <c r="C502" s="40"/>
      <c r="D502" s="40"/>
      <c r="E502" s="40"/>
      <c r="F502" s="40"/>
      <c r="G502" s="40"/>
      <c r="H502" s="40"/>
      <c r="I502" s="40"/>
      <c r="J502" s="40"/>
      <c r="K502" s="40"/>
      <c r="L502" s="40"/>
      <c r="M502" s="40"/>
      <c r="N502" s="40"/>
      <c r="O502" s="40"/>
      <c r="P502" s="40"/>
      <c r="Q502" s="40"/>
      <c r="R502" s="40"/>
      <c r="S502" s="40"/>
      <c r="T502" s="40"/>
      <c r="U502" s="40"/>
      <c r="V502" s="40"/>
      <c r="W502" s="40"/>
      <c r="X502" s="40"/>
      <c r="Y502" s="40"/>
      <c r="Z502" s="40"/>
      <c r="AA502" s="40"/>
      <c r="AB502" s="40"/>
      <c r="AC502" s="40"/>
      <c r="AD502" s="40"/>
      <c r="AE502" s="40"/>
      <c r="AF502" s="40"/>
      <c r="AG502" s="40"/>
      <c r="AH502" s="40"/>
      <c r="AI502" s="40"/>
      <c r="AJ502" s="40"/>
      <c r="AK502" s="40"/>
      <c r="AL502" s="40"/>
      <c r="AM502" s="40"/>
      <c r="AN502" s="40"/>
      <c r="AO502" s="40"/>
      <c r="AP502" s="40"/>
    </row>
    <row r="503" spans="2:42" x14ac:dyDescent="0.2">
      <c r="B503" s="40"/>
      <c r="C503" s="40"/>
      <c r="D503" s="40"/>
      <c r="E503" s="40"/>
      <c r="F503" s="40"/>
      <c r="G503" s="40"/>
      <c r="H503" s="40"/>
      <c r="I503" s="40"/>
      <c r="J503" s="40"/>
      <c r="K503" s="40"/>
      <c r="L503" s="40"/>
      <c r="M503" s="40"/>
      <c r="N503" s="40"/>
      <c r="O503" s="40"/>
      <c r="P503" s="40"/>
      <c r="Q503" s="40"/>
      <c r="R503" s="40"/>
      <c r="S503" s="40"/>
      <c r="T503" s="40"/>
      <c r="U503" s="40"/>
      <c r="V503" s="40"/>
      <c r="W503" s="40"/>
      <c r="X503" s="40"/>
      <c r="Y503" s="40"/>
      <c r="Z503" s="40"/>
      <c r="AA503" s="40"/>
      <c r="AB503" s="40"/>
      <c r="AC503" s="40"/>
      <c r="AD503" s="40"/>
      <c r="AE503" s="40"/>
      <c r="AF503" s="40"/>
      <c r="AG503" s="40"/>
      <c r="AH503" s="40"/>
      <c r="AI503" s="40"/>
      <c r="AJ503" s="40"/>
      <c r="AK503" s="40"/>
      <c r="AL503" s="40"/>
      <c r="AM503" s="40"/>
      <c r="AN503" s="40"/>
      <c r="AO503" s="40"/>
      <c r="AP503" s="40"/>
    </row>
    <row r="504" spans="2:42" x14ac:dyDescent="0.2">
      <c r="B504" s="40"/>
      <c r="C504" s="40"/>
      <c r="D504" s="40"/>
      <c r="E504" s="40"/>
      <c r="F504" s="40"/>
      <c r="G504" s="40"/>
      <c r="H504" s="40"/>
      <c r="I504" s="40"/>
      <c r="J504" s="40"/>
      <c r="K504" s="40"/>
      <c r="L504" s="40"/>
      <c r="M504" s="40"/>
      <c r="N504" s="40"/>
      <c r="O504" s="40"/>
      <c r="P504" s="40"/>
      <c r="Q504" s="40"/>
      <c r="R504" s="40"/>
      <c r="S504" s="40"/>
      <c r="T504" s="40"/>
      <c r="U504" s="40"/>
      <c r="V504" s="40"/>
      <c r="W504" s="40"/>
      <c r="X504" s="40"/>
      <c r="Y504" s="40"/>
      <c r="Z504" s="40"/>
      <c r="AA504" s="40"/>
      <c r="AB504" s="40"/>
      <c r="AC504" s="40"/>
      <c r="AD504" s="40"/>
      <c r="AE504" s="40"/>
      <c r="AF504" s="40"/>
      <c r="AG504" s="40"/>
      <c r="AH504" s="40"/>
      <c r="AI504" s="40"/>
      <c r="AJ504" s="40"/>
      <c r="AK504" s="40"/>
      <c r="AL504" s="40"/>
      <c r="AM504" s="40"/>
      <c r="AN504" s="40"/>
      <c r="AO504" s="40"/>
      <c r="AP504" s="40"/>
    </row>
    <row r="505" spans="2:42" x14ac:dyDescent="0.2">
      <c r="B505" s="40"/>
      <c r="C505" s="40"/>
      <c r="D505" s="40"/>
      <c r="E505" s="40"/>
      <c r="F505" s="40"/>
      <c r="G505" s="40"/>
      <c r="H505" s="40"/>
      <c r="I505" s="40"/>
      <c r="J505" s="40"/>
      <c r="K505" s="40"/>
      <c r="L505" s="40"/>
      <c r="M505" s="40"/>
      <c r="N505" s="40"/>
      <c r="O505" s="40"/>
      <c r="P505" s="40"/>
      <c r="Q505" s="40"/>
      <c r="R505" s="40"/>
      <c r="S505" s="40"/>
      <c r="T505" s="40"/>
      <c r="U505" s="40"/>
      <c r="V505" s="40"/>
      <c r="W505" s="40"/>
      <c r="X505" s="40"/>
      <c r="Y505" s="40"/>
      <c r="Z505" s="40"/>
      <c r="AA505" s="40"/>
      <c r="AB505" s="40"/>
      <c r="AC505" s="40"/>
      <c r="AD505" s="40"/>
      <c r="AE505" s="40"/>
      <c r="AF505" s="40"/>
      <c r="AG505" s="40"/>
      <c r="AH505" s="40"/>
      <c r="AI505" s="40"/>
      <c r="AJ505" s="40"/>
      <c r="AK505" s="40"/>
      <c r="AL505" s="40"/>
      <c r="AM505" s="40"/>
      <c r="AN505" s="40"/>
      <c r="AO505" s="40"/>
      <c r="AP505" s="40"/>
    </row>
    <row r="506" spans="2:42" x14ac:dyDescent="0.2">
      <c r="B506" s="40"/>
      <c r="C506" s="40"/>
      <c r="D506" s="40"/>
      <c r="E506" s="40"/>
      <c r="F506" s="40"/>
      <c r="G506" s="40"/>
      <c r="H506" s="40"/>
      <c r="I506" s="40"/>
      <c r="J506" s="40"/>
      <c r="K506" s="40"/>
      <c r="L506" s="40"/>
      <c r="M506" s="40"/>
      <c r="N506" s="40"/>
      <c r="O506" s="40"/>
      <c r="P506" s="40"/>
      <c r="Q506" s="40"/>
      <c r="R506" s="40"/>
      <c r="S506" s="40"/>
      <c r="T506" s="40"/>
      <c r="U506" s="40"/>
      <c r="V506" s="40"/>
      <c r="W506" s="40"/>
      <c r="X506" s="40"/>
      <c r="Y506" s="40"/>
      <c r="Z506" s="40"/>
      <c r="AA506" s="40"/>
      <c r="AB506" s="40"/>
      <c r="AC506" s="40"/>
      <c r="AD506" s="40"/>
      <c r="AE506" s="40"/>
      <c r="AF506" s="40"/>
      <c r="AG506" s="40"/>
      <c r="AH506" s="40"/>
      <c r="AI506" s="40"/>
      <c r="AJ506" s="40"/>
      <c r="AK506" s="40"/>
      <c r="AL506" s="40"/>
      <c r="AM506" s="40"/>
      <c r="AN506" s="40"/>
      <c r="AO506" s="40"/>
      <c r="AP506" s="40"/>
    </row>
    <row r="507" spans="2:42" x14ac:dyDescent="0.2">
      <c r="B507" s="40"/>
      <c r="C507" s="40"/>
      <c r="D507" s="40"/>
      <c r="E507" s="40"/>
      <c r="F507" s="40"/>
      <c r="G507" s="40"/>
      <c r="H507" s="40"/>
      <c r="I507" s="40"/>
      <c r="J507" s="40"/>
      <c r="K507" s="40"/>
      <c r="L507" s="40"/>
      <c r="M507" s="40"/>
      <c r="N507" s="40"/>
      <c r="O507" s="40"/>
      <c r="P507" s="40"/>
      <c r="Q507" s="40"/>
      <c r="R507" s="40"/>
      <c r="S507" s="40"/>
      <c r="T507" s="40"/>
      <c r="U507" s="40"/>
      <c r="V507" s="40"/>
      <c r="W507" s="40"/>
      <c r="X507" s="40"/>
      <c r="Y507" s="40"/>
      <c r="Z507" s="40"/>
      <c r="AA507" s="40"/>
      <c r="AB507" s="40"/>
      <c r="AC507" s="40"/>
      <c r="AD507" s="40"/>
      <c r="AE507" s="40"/>
      <c r="AF507" s="40"/>
      <c r="AG507" s="40"/>
      <c r="AH507" s="40"/>
      <c r="AI507" s="40"/>
      <c r="AJ507" s="40"/>
      <c r="AK507" s="40"/>
      <c r="AL507" s="40"/>
      <c r="AM507" s="40"/>
      <c r="AN507" s="40"/>
      <c r="AO507" s="40"/>
      <c r="AP507" s="40"/>
    </row>
    <row r="508" spans="2:42" x14ac:dyDescent="0.2">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c r="AG508" s="40"/>
      <c r="AH508" s="40"/>
      <c r="AI508" s="40"/>
      <c r="AJ508" s="40"/>
      <c r="AK508" s="40"/>
      <c r="AL508" s="40"/>
      <c r="AM508" s="40"/>
      <c r="AN508" s="40"/>
      <c r="AO508" s="40"/>
      <c r="AP508" s="40"/>
    </row>
    <row r="509" spans="2:42" x14ac:dyDescent="0.2">
      <c r="B509" s="40"/>
      <c r="C509" s="40"/>
      <c r="D509" s="40"/>
      <c r="E509" s="40"/>
      <c r="F509" s="40"/>
      <c r="G509" s="40"/>
      <c r="H509" s="40"/>
      <c r="I509" s="40"/>
      <c r="J509" s="40"/>
      <c r="K509" s="40"/>
      <c r="L509" s="40"/>
      <c r="M509" s="40"/>
      <c r="N509" s="40"/>
      <c r="O509" s="40"/>
      <c r="P509" s="40"/>
      <c r="Q509" s="40"/>
      <c r="R509" s="40"/>
      <c r="S509" s="40"/>
      <c r="T509" s="40"/>
      <c r="U509" s="40"/>
      <c r="V509" s="40"/>
      <c r="W509" s="40"/>
      <c r="X509" s="40"/>
      <c r="Y509" s="40"/>
      <c r="Z509" s="40"/>
      <c r="AA509" s="40"/>
      <c r="AB509" s="40"/>
      <c r="AC509" s="40"/>
      <c r="AD509" s="40"/>
      <c r="AE509" s="40"/>
      <c r="AF509" s="40"/>
      <c r="AG509" s="40"/>
      <c r="AH509" s="40"/>
      <c r="AI509" s="40"/>
      <c r="AJ509" s="40"/>
      <c r="AK509" s="40"/>
      <c r="AL509" s="40"/>
      <c r="AM509" s="40"/>
      <c r="AN509" s="40"/>
      <c r="AO509" s="40"/>
      <c r="AP509" s="40"/>
    </row>
    <row r="510" spans="2:42" x14ac:dyDescent="0.2">
      <c r="B510" s="40"/>
      <c r="C510" s="40"/>
      <c r="D510" s="40"/>
      <c r="E510" s="40"/>
      <c r="F510" s="40"/>
      <c r="G510" s="40"/>
      <c r="H510" s="40"/>
      <c r="I510" s="40"/>
      <c r="J510" s="40"/>
      <c r="K510" s="40"/>
      <c r="L510" s="40"/>
      <c r="M510" s="40"/>
      <c r="N510" s="40"/>
      <c r="O510" s="40"/>
      <c r="P510" s="40"/>
      <c r="Q510" s="40"/>
      <c r="R510" s="40"/>
      <c r="S510" s="40"/>
      <c r="T510" s="40"/>
      <c r="U510" s="40"/>
      <c r="V510" s="40"/>
      <c r="W510" s="40"/>
      <c r="X510" s="40"/>
      <c r="Y510" s="40"/>
      <c r="Z510" s="40"/>
      <c r="AA510" s="40"/>
      <c r="AB510" s="40"/>
      <c r="AC510" s="40"/>
      <c r="AD510" s="40"/>
      <c r="AE510" s="40"/>
      <c r="AF510" s="40"/>
      <c r="AG510" s="40"/>
      <c r="AH510" s="40"/>
      <c r="AI510" s="40"/>
      <c r="AJ510" s="40"/>
      <c r="AK510" s="40"/>
      <c r="AL510" s="40"/>
      <c r="AM510" s="40"/>
      <c r="AN510" s="40"/>
      <c r="AO510" s="40"/>
      <c r="AP510" s="40"/>
    </row>
    <row r="511" spans="2:42" x14ac:dyDescent="0.2">
      <c r="B511" s="40"/>
      <c r="C511" s="40"/>
      <c r="D511" s="40"/>
      <c r="E511" s="40"/>
      <c r="F511" s="40"/>
      <c r="G511" s="40"/>
      <c r="H511" s="40"/>
      <c r="I511" s="40"/>
      <c r="J511" s="40"/>
      <c r="K511" s="40"/>
      <c r="L511" s="40"/>
      <c r="M511" s="40"/>
      <c r="N511" s="40"/>
      <c r="O511" s="40"/>
      <c r="P511" s="40"/>
      <c r="Q511" s="40"/>
      <c r="R511" s="40"/>
      <c r="S511" s="40"/>
      <c r="T511" s="40"/>
      <c r="U511" s="40"/>
      <c r="V511" s="40"/>
      <c r="W511" s="40"/>
      <c r="X511" s="40"/>
      <c r="Y511" s="40"/>
      <c r="Z511" s="40"/>
      <c r="AA511" s="40"/>
      <c r="AB511" s="40"/>
      <c r="AC511" s="40"/>
      <c r="AD511" s="40"/>
      <c r="AE511" s="40"/>
      <c r="AF511" s="40"/>
      <c r="AG511" s="40"/>
      <c r="AH511" s="40"/>
      <c r="AI511" s="40"/>
      <c r="AJ511" s="40"/>
      <c r="AK511" s="40"/>
      <c r="AL511" s="40"/>
      <c r="AM511" s="40"/>
      <c r="AN511" s="40"/>
      <c r="AO511" s="40"/>
      <c r="AP511" s="40"/>
    </row>
    <row r="512" spans="2:42" x14ac:dyDescent="0.2">
      <c r="B512" s="40"/>
      <c r="C512" s="40"/>
      <c r="D512" s="40"/>
      <c r="E512" s="40"/>
      <c r="F512" s="40"/>
      <c r="G512" s="40"/>
      <c r="H512" s="40"/>
      <c r="I512" s="40"/>
      <c r="J512" s="40"/>
      <c r="K512" s="40"/>
      <c r="L512" s="40"/>
      <c r="M512" s="40"/>
      <c r="N512" s="40"/>
      <c r="O512" s="40"/>
      <c r="P512" s="40"/>
      <c r="Q512" s="40"/>
      <c r="R512" s="40"/>
      <c r="S512" s="40"/>
      <c r="T512" s="40"/>
      <c r="U512" s="40"/>
      <c r="V512" s="40"/>
      <c r="W512" s="40"/>
      <c r="X512" s="40"/>
      <c r="Y512" s="40"/>
      <c r="Z512" s="40"/>
      <c r="AA512" s="40"/>
      <c r="AB512" s="40"/>
      <c r="AC512" s="40"/>
      <c r="AD512" s="40"/>
      <c r="AE512" s="40"/>
      <c r="AF512" s="40"/>
      <c r="AG512" s="40"/>
      <c r="AH512" s="40"/>
      <c r="AI512" s="40"/>
      <c r="AJ512" s="40"/>
      <c r="AK512" s="40"/>
      <c r="AL512" s="40"/>
      <c r="AM512" s="40"/>
      <c r="AN512" s="40"/>
      <c r="AO512" s="40"/>
      <c r="AP512" s="40"/>
    </row>
    <row r="513" spans="2:42" x14ac:dyDescent="0.2">
      <c r="B513" s="40"/>
      <c r="C513" s="40"/>
      <c r="D513" s="40"/>
      <c r="E513" s="40"/>
      <c r="F513" s="40"/>
      <c r="G513" s="40"/>
      <c r="H513" s="40"/>
      <c r="I513" s="40"/>
      <c r="J513" s="40"/>
      <c r="K513" s="40"/>
      <c r="L513" s="40"/>
      <c r="M513" s="40"/>
      <c r="N513" s="40"/>
      <c r="O513" s="40"/>
      <c r="P513" s="40"/>
      <c r="Q513" s="40"/>
      <c r="R513" s="40"/>
      <c r="S513" s="40"/>
      <c r="T513" s="40"/>
      <c r="U513" s="40"/>
      <c r="V513" s="40"/>
      <c r="W513" s="40"/>
      <c r="X513" s="40"/>
      <c r="Y513" s="40"/>
      <c r="Z513" s="40"/>
      <c r="AA513" s="40"/>
      <c r="AB513" s="40"/>
      <c r="AC513" s="40"/>
      <c r="AD513" s="40"/>
      <c r="AE513" s="40"/>
      <c r="AF513" s="40"/>
      <c r="AG513" s="40"/>
      <c r="AH513" s="40"/>
      <c r="AI513" s="40"/>
      <c r="AJ513" s="40"/>
      <c r="AK513" s="40"/>
      <c r="AL513" s="40"/>
      <c r="AM513" s="40"/>
      <c r="AN513" s="40"/>
      <c r="AO513" s="40"/>
      <c r="AP513" s="40"/>
    </row>
    <row r="514" spans="2:42" x14ac:dyDescent="0.2">
      <c r="B514" s="40"/>
      <c r="C514" s="40"/>
      <c r="D514" s="40"/>
      <c r="E514" s="40"/>
      <c r="F514" s="40"/>
      <c r="G514" s="40"/>
      <c r="H514" s="40"/>
      <c r="I514" s="40"/>
      <c r="J514" s="40"/>
      <c r="K514" s="40"/>
      <c r="L514" s="40"/>
      <c r="M514" s="40"/>
      <c r="N514" s="40"/>
      <c r="O514" s="40"/>
      <c r="P514" s="40"/>
      <c r="Q514" s="40"/>
      <c r="R514" s="40"/>
      <c r="S514" s="40"/>
      <c r="T514" s="40"/>
      <c r="U514" s="40"/>
      <c r="V514" s="40"/>
      <c r="W514" s="40"/>
      <c r="X514" s="40"/>
      <c r="Y514" s="40"/>
      <c r="Z514" s="40"/>
      <c r="AA514" s="40"/>
      <c r="AB514" s="40"/>
      <c r="AC514" s="40"/>
      <c r="AD514" s="40"/>
      <c r="AE514" s="40"/>
      <c r="AF514" s="40"/>
      <c r="AG514" s="40"/>
      <c r="AH514" s="40"/>
      <c r="AI514" s="40"/>
      <c r="AJ514" s="40"/>
      <c r="AK514" s="40"/>
      <c r="AL514" s="40"/>
      <c r="AM514" s="40"/>
      <c r="AN514" s="40"/>
      <c r="AO514" s="40"/>
      <c r="AP514" s="40"/>
    </row>
    <row r="515" spans="2:42" x14ac:dyDescent="0.2">
      <c r="B515" s="40"/>
      <c r="C515" s="40"/>
      <c r="D515" s="40"/>
      <c r="E515" s="40"/>
      <c r="F515" s="40"/>
      <c r="G515" s="40"/>
      <c r="H515" s="40"/>
      <c r="I515" s="40"/>
      <c r="J515" s="40"/>
      <c r="K515" s="40"/>
      <c r="L515" s="40"/>
      <c r="M515" s="40"/>
      <c r="N515" s="40"/>
      <c r="O515" s="40"/>
      <c r="P515" s="40"/>
      <c r="Q515" s="40"/>
      <c r="R515" s="40"/>
      <c r="S515" s="40"/>
      <c r="T515" s="40"/>
      <c r="U515" s="40"/>
      <c r="V515" s="40"/>
      <c r="W515" s="40"/>
      <c r="X515" s="40"/>
      <c r="Y515" s="40"/>
      <c r="Z515" s="40"/>
      <c r="AA515" s="40"/>
      <c r="AB515" s="40"/>
      <c r="AC515" s="40"/>
      <c r="AD515" s="40"/>
      <c r="AE515" s="40"/>
      <c r="AF515" s="40"/>
      <c r="AG515" s="40"/>
      <c r="AH515" s="40"/>
      <c r="AI515" s="40"/>
      <c r="AJ515" s="40"/>
      <c r="AK515" s="40"/>
      <c r="AL515" s="40"/>
      <c r="AM515" s="40"/>
      <c r="AN515" s="40"/>
      <c r="AO515" s="40"/>
      <c r="AP515" s="40"/>
    </row>
    <row r="516" spans="2:42" x14ac:dyDescent="0.2">
      <c r="B516" s="40"/>
      <c r="C516" s="40"/>
      <c r="D516" s="40"/>
      <c r="E516" s="40"/>
      <c r="F516" s="40"/>
      <c r="G516" s="40"/>
      <c r="H516" s="40"/>
      <c r="I516" s="40"/>
      <c r="J516" s="40"/>
      <c r="K516" s="40"/>
      <c r="L516" s="40"/>
      <c r="M516" s="40"/>
      <c r="N516" s="40"/>
      <c r="O516" s="40"/>
      <c r="P516" s="40"/>
      <c r="Q516" s="40"/>
      <c r="R516" s="40"/>
      <c r="S516" s="40"/>
      <c r="T516" s="40"/>
      <c r="U516" s="40"/>
      <c r="V516" s="40"/>
      <c r="W516" s="40"/>
      <c r="X516" s="40"/>
      <c r="Y516" s="40"/>
      <c r="Z516" s="40"/>
      <c r="AA516" s="40"/>
      <c r="AB516" s="40"/>
      <c r="AC516" s="40"/>
      <c r="AD516" s="40"/>
      <c r="AE516" s="40"/>
      <c r="AF516" s="40"/>
      <c r="AG516" s="40"/>
      <c r="AH516" s="40"/>
      <c r="AI516" s="40"/>
      <c r="AJ516" s="40"/>
      <c r="AK516" s="40"/>
      <c r="AL516" s="40"/>
      <c r="AM516" s="40"/>
      <c r="AN516" s="40"/>
      <c r="AO516" s="40"/>
      <c r="AP516" s="40"/>
    </row>
    <row r="517" spans="2:42" x14ac:dyDescent="0.2">
      <c r="B517" s="40"/>
      <c r="C517" s="40"/>
      <c r="D517" s="40"/>
      <c r="E517" s="40"/>
      <c r="F517" s="40"/>
      <c r="G517" s="40"/>
      <c r="H517" s="40"/>
      <c r="I517" s="40"/>
      <c r="J517" s="40"/>
      <c r="K517" s="40"/>
      <c r="L517" s="40"/>
      <c r="M517" s="40"/>
      <c r="N517" s="40"/>
      <c r="O517" s="40"/>
      <c r="P517" s="40"/>
      <c r="Q517" s="40"/>
      <c r="R517" s="40"/>
      <c r="S517" s="40"/>
      <c r="T517" s="40"/>
      <c r="U517" s="40"/>
      <c r="V517" s="40"/>
      <c r="W517" s="40"/>
      <c r="X517" s="40"/>
      <c r="Y517" s="40"/>
      <c r="Z517" s="40"/>
      <c r="AA517" s="40"/>
      <c r="AB517" s="40"/>
      <c r="AC517" s="40"/>
      <c r="AD517" s="40"/>
      <c r="AE517" s="40"/>
      <c r="AF517" s="40"/>
      <c r="AG517" s="40"/>
      <c r="AH517" s="40"/>
      <c r="AI517" s="40"/>
      <c r="AJ517" s="40"/>
      <c r="AK517" s="40"/>
      <c r="AL517" s="40"/>
      <c r="AM517" s="40"/>
      <c r="AN517" s="40"/>
      <c r="AO517" s="40"/>
      <c r="AP517" s="40"/>
    </row>
    <row r="518" spans="2:42" x14ac:dyDescent="0.2">
      <c r="B518" s="40"/>
      <c r="C518" s="40"/>
      <c r="D518" s="40"/>
      <c r="E518" s="40"/>
      <c r="F518" s="40"/>
      <c r="G518" s="40"/>
      <c r="H518" s="40"/>
      <c r="I518" s="40"/>
      <c r="J518" s="40"/>
      <c r="K518" s="40"/>
      <c r="L518" s="40"/>
      <c r="M518" s="40"/>
      <c r="N518" s="40"/>
      <c r="O518" s="40"/>
      <c r="P518" s="40"/>
      <c r="Q518" s="40"/>
      <c r="R518" s="40"/>
      <c r="S518" s="40"/>
      <c r="T518" s="40"/>
      <c r="U518" s="40"/>
      <c r="V518" s="40"/>
      <c r="W518" s="40"/>
      <c r="X518" s="40"/>
      <c r="Y518" s="40"/>
      <c r="Z518" s="40"/>
      <c r="AA518" s="40"/>
      <c r="AB518" s="40"/>
      <c r="AC518" s="40"/>
      <c r="AD518" s="40"/>
      <c r="AE518" s="40"/>
      <c r="AF518" s="40"/>
      <c r="AG518" s="40"/>
      <c r="AH518" s="40"/>
      <c r="AI518" s="40"/>
      <c r="AJ518" s="40"/>
      <c r="AK518" s="40"/>
      <c r="AL518" s="40"/>
      <c r="AM518" s="40"/>
      <c r="AN518" s="40"/>
      <c r="AO518" s="40"/>
      <c r="AP518" s="40"/>
    </row>
    <row r="519" spans="2:42" x14ac:dyDescent="0.2">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c r="AE519" s="40"/>
      <c r="AF519" s="40"/>
      <c r="AG519" s="40"/>
      <c r="AH519" s="40"/>
      <c r="AI519" s="40"/>
      <c r="AJ519" s="40"/>
      <c r="AK519" s="40"/>
      <c r="AL519" s="40"/>
      <c r="AM519" s="40"/>
      <c r="AN519" s="40"/>
      <c r="AO519" s="40"/>
      <c r="AP519" s="40"/>
    </row>
    <row r="520" spans="2:42" x14ac:dyDescent="0.2">
      <c r="B520" s="40"/>
      <c r="C520" s="40"/>
      <c r="D520" s="40"/>
      <c r="E520" s="40"/>
      <c r="F520" s="40"/>
      <c r="G520" s="40"/>
      <c r="H520" s="40"/>
      <c r="I520" s="40"/>
      <c r="J520" s="40"/>
      <c r="K520" s="40"/>
      <c r="L520" s="40"/>
      <c r="M520" s="40"/>
      <c r="N520" s="40"/>
      <c r="O520" s="40"/>
      <c r="P520" s="40"/>
      <c r="Q520" s="40"/>
      <c r="R520" s="40"/>
      <c r="S520" s="40"/>
      <c r="T520" s="40"/>
      <c r="U520" s="40"/>
      <c r="V520" s="40"/>
      <c r="W520" s="40"/>
      <c r="X520" s="40"/>
      <c r="Y520" s="40"/>
      <c r="Z520" s="40"/>
      <c r="AA520" s="40"/>
      <c r="AB520" s="40"/>
      <c r="AC520" s="40"/>
      <c r="AD520" s="40"/>
      <c r="AE520" s="40"/>
      <c r="AF520" s="40"/>
      <c r="AG520" s="40"/>
      <c r="AH520" s="40"/>
      <c r="AI520" s="40"/>
      <c r="AJ520" s="40"/>
      <c r="AK520" s="40"/>
      <c r="AL520" s="40"/>
      <c r="AM520" s="40"/>
      <c r="AN520" s="40"/>
      <c r="AO520" s="40"/>
      <c r="AP520" s="40"/>
    </row>
    <row r="521" spans="2:42" x14ac:dyDescent="0.2">
      <c r="B521" s="40"/>
      <c r="C521" s="40"/>
      <c r="D521" s="40"/>
      <c r="E521" s="40"/>
      <c r="F521" s="40"/>
      <c r="G521" s="40"/>
      <c r="H521" s="40"/>
      <c r="I521" s="40"/>
      <c r="J521" s="40"/>
      <c r="K521" s="40"/>
      <c r="L521" s="40"/>
      <c r="M521" s="40"/>
      <c r="N521" s="40"/>
      <c r="O521" s="40"/>
      <c r="P521" s="40"/>
      <c r="Q521" s="40"/>
      <c r="R521" s="40"/>
      <c r="S521" s="40"/>
      <c r="T521" s="40"/>
      <c r="U521" s="40"/>
      <c r="V521" s="40"/>
      <c r="W521" s="40"/>
      <c r="X521" s="40"/>
      <c r="Y521" s="40"/>
      <c r="Z521" s="40"/>
      <c r="AA521" s="40"/>
      <c r="AB521" s="40"/>
      <c r="AC521" s="40"/>
      <c r="AD521" s="40"/>
      <c r="AE521" s="40"/>
      <c r="AF521" s="40"/>
      <c r="AG521" s="40"/>
      <c r="AH521" s="40"/>
      <c r="AI521" s="40"/>
      <c r="AJ521" s="40"/>
      <c r="AK521" s="40"/>
      <c r="AL521" s="40"/>
      <c r="AM521" s="40"/>
      <c r="AN521" s="40"/>
      <c r="AO521" s="40"/>
      <c r="AP521" s="40"/>
    </row>
    <row r="522" spans="2:42" x14ac:dyDescent="0.2">
      <c r="B522" s="40"/>
      <c r="C522" s="40"/>
      <c r="D522" s="40"/>
      <c r="E522" s="40"/>
      <c r="F522" s="40"/>
      <c r="G522" s="40"/>
      <c r="H522" s="40"/>
      <c r="I522" s="40"/>
      <c r="J522" s="40"/>
      <c r="K522" s="40"/>
      <c r="L522" s="40"/>
      <c r="M522" s="40"/>
      <c r="N522" s="40"/>
      <c r="O522" s="40"/>
      <c r="P522" s="40"/>
      <c r="Q522" s="40"/>
      <c r="R522" s="40"/>
      <c r="S522" s="40"/>
      <c r="T522" s="40"/>
      <c r="U522" s="40"/>
      <c r="V522" s="40"/>
      <c r="W522" s="40"/>
      <c r="X522" s="40"/>
      <c r="Y522" s="40"/>
      <c r="Z522" s="40"/>
      <c r="AA522" s="40"/>
      <c r="AB522" s="40"/>
      <c r="AC522" s="40"/>
      <c r="AD522" s="40"/>
      <c r="AE522" s="40"/>
      <c r="AF522" s="40"/>
      <c r="AG522" s="40"/>
      <c r="AH522" s="40"/>
      <c r="AI522" s="40"/>
      <c r="AJ522" s="40"/>
      <c r="AK522" s="40"/>
      <c r="AL522" s="40"/>
      <c r="AM522" s="40"/>
      <c r="AN522" s="40"/>
      <c r="AO522" s="40"/>
      <c r="AP522" s="40"/>
    </row>
    <row r="523" spans="2:42" x14ac:dyDescent="0.2">
      <c r="B523" s="40"/>
      <c r="C523" s="40"/>
      <c r="D523" s="40"/>
      <c r="E523" s="40"/>
      <c r="F523" s="40"/>
      <c r="G523" s="40"/>
      <c r="H523" s="40"/>
      <c r="I523" s="40"/>
      <c r="J523" s="40"/>
      <c r="K523" s="40"/>
      <c r="L523" s="40"/>
      <c r="M523" s="40"/>
      <c r="N523" s="40"/>
      <c r="O523" s="40"/>
      <c r="P523" s="40"/>
      <c r="Q523" s="40"/>
      <c r="R523" s="40"/>
      <c r="S523" s="40"/>
      <c r="T523" s="40"/>
      <c r="U523" s="40"/>
      <c r="V523" s="40"/>
      <c r="W523" s="40"/>
      <c r="X523" s="40"/>
      <c r="Y523" s="40"/>
      <c r="Z523" s="40"/>
      <c r="AA523" s="40"/>
      <c r="AB523" s="40"/>
      <c r="AC523" s="40"/>
      <c r="AD523" s="40"/>
      <c r="AE523" s="40"/>
      <c r="AF523" s="40"/>
      <c r="AG523" s="40"/>
      <c r="AH523" s="40"/>
      <c r="AI523" s="40"/>
      <c r="AJ523" s="40"/>
      <c r="AK523" s="40"/>
      <c r="AL523" s="40"/>
      <c r="AM523" s="40"/>
      <c r="AN523" s="40"/>
      <c r="AO523" s="40"/>
      <c r="AP523" s="40"/>
    </row>
    <row r="524" spans="2:42" x14ac:dyDescent="0.2">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c r="AE524" s="40"/>
      <c r="AF524" s="40"/>
      <c r="AG524" s="40"/>
      <c r="AH524" s="40"/>
      <c r="AI524" s="40"/>
      <c r="AJ524" s="40"/>
      <c r="AK524" s="40"/>
      <c r="AL524" s="40"/>
      <c r="AM524" s="40"/>
      <c r="AN524" s="40"/>
      <c r="AO524" s="40"/>
      <c r="AP524" s="40"/>
    </row>
    <row r="525" spans="2:42" x14ac:dyDescent="0.2">
      <c r="B525" s="40"/>
      <c r="C525" s="40"/>
      <c r="D525" s="40"/>
      <c r="E525" s="40"/>
      <c r="F525" s="40"/>
      <c r="G525" s="40"/>
      <c r="H525" s="40"/>
      <c r="I525" s="40"/>
      <c r="J525" s="40"/>
      <c r="K525" s="40"/>
      <c r="L525" s="40"/>
      <c r="M525" s="40"/>
      <c r="N525" s="40"/>
      <c r="O525" s="40"/>
      <c r="P525" s="40"/>
      <c r="Q525" s="40"/>
      <c r="R525" s="40"/>
      <c r="S525" s="40"/>
      <c r="T525" s="40"/>
      <c r="U525" s="40"/>
      <c r="V525" s="40"/>
      <c r="W525" s="40"/>
      <c r="X525" s="40"/>
      <c r="Y525" s="40"/>
      <c r="Z525" s="40"/>
      <c r="AA525" s="40"/>
      <c r="AB525" s="40"/>
      <c r="AC525" s="40"/>
      <c r="AD525" s="40"/>
      <c r="AE525" s="40"/>
      <c r="AF525" s="40"/>
      <c r="AG525" s="40"/>
      <c r="AH525" s="40"/>
      <c r="AI525" s="40"/>
      <c r="AJ525" s="40"/>
      <c r="AK525" s="40"/>
      <c r="AL525" s="40"/>
      <c r="AM525" s="40"/>
      <c r="AN525" s="40"/>
      <c r="AO525" s="40"/>
      <c r="AP525" s="40"/>
    </row>
    <row r="526" spans="2:42" x14ac:dyDescent="0.2">
      <c r="B526" s="40"/>
      <c r="C526" s="40"/>
      <c r="D526" s="40"/>
      <c r="E526" s="40"/>
      <c r="F526" s="40"/>
      <c r="G526" s="40"/>
      <c r="H526" s="40"/>
      <c r="I526" s="40"/>
      <c r="J526" s="40"/>
      <c r="K526" s="40"/>
      <c r="L526" s="40"/>
      <c r="M526" s="40"/>
      <c r="N526" s="40"/>
      <c r="O526" s="40"/>
      <c r="P526" s="40"/>
      <c r="Q526" s="40"/>
      <c r="R526" s="40"/>
      <c r="S526" s="40"/>
      <c r="T526" s="40"/>
      <c r="U526" s="40"/>
      <c r="V526" s="40"/>
      <c r="W526" s="40"/>
      <c r="X526" s="40"/>
      <c r="Y526" s="40"/>
      <c r="Z526" s="40"/>
      <c r="AA526" s="40"/>
      <c r="AB526" s="40"/>
      <c r="AC526" s="40"/>
      <c r="AD526" s="40"/>
      <c r="AE526" s="40"/>
      <c r="AF526" s="40"/>
      <c r="AG526" s="40"/>
      <c r="AH526" s="40"/>
      <c r="AI526" s="40"/>
      <c r="AJ526" s="40"/>
      <c r="AK526" s="40"/>
      <c r="AL526" s="40"/>
      <c r="AM526" s="40"/>
      <c r="AN526" s="40"/>
      <c r="AO526" s="40"/>
      <c r="AP526" s="40"/>
    </row>
    <row r="527" spans="2:42" x14ac:dyDescent="0.2">
      <c r="B527" s="40"/>
      <c r="C527" s="40"/>
      <c r="D527" s="40"/>
      <c r="E527" s="40"/>
      <c r="F527" s="40"/>
      <c r="G527" s="40"/>
      <c r="H527" s="40"/>
      <c r="I527" s="40"/>
      <c r="J527" s="40"/>
      <c r="K527" s="40"/>
      <c r="L527" s="40"/>
      <c r="M527" s="40"/>
      <c r="N527" s="40"/>
      <c r="O527" s="40"/>
      <c r="P527" s="40"/>
      <c r="Q527" s="40"/>
      <c r="R527" s="40"/>
      <c r="S527" s="40"/>
      <c r="T527" s="40"/>
      <c r="U527" s="40"/>
      <c r="V527" s="40"/>
      <c r="W527" s="40"/>
      <c r="X527" s="40"/>
      <c r="Y527" s="40"/>
      <c r="Z527" s="40"/>
      <c r="AA527" s="40"/>
      <c r="AB527" s="40"/>
      <c r="AC527" s="40"/>
      <c r="AD527" s="40"/>
      <c r="AE527" s="40"/>
      <c r="AF527" s="40"/>
      <c r="AG527" s="40"/>
      <c r="AH527" s="40"/>
      <c r="AI527" s="40"/>
      <c r="AJ527" s="40"/>
      <c r="AK527" s="40"/>
      <c r="AL527" s="40"/>
      <c r="AM527" s="40"/>
      <c r="AN527" s="40"/>
      <c r="AO527" s="40"/>
      <c r="AP527" s="40"/>
    </row>
    <row r="528" spans="2:42" x14ac:dyDescent="0.2">
      <c r="B528" s="40"/>
      <c r="C528" s="40"/>
      <c r="D528" s="40"/>
      <c r="E528" s="40"/>
      <c r="F528" s="40"/>
      <c r="G528" s="40"/>
      <c r="H528" s="40"/>
      <c r="I528" s="40"/>
      <c r="J528" s="40"/>
      <c r="K528" s="40"/>
      <c r="L528" s="40"/>
      <c r="M528" s="40"/>
      <c r="N528" s="40"/>
      <c r="O528" s="40"/>
      <c r="P528" s="40"/>
      <c r="Q528" s="40"/>
      <c r="R528" s="40"/>
      <c r="S528" s="40"/>
      <c r="T528" s="40"/>
      <c r="U528" s="40"/>
      <c r="V528" s="40"/>
      <c r="W528" s="40"/>
      <c r="X528" s="40"/>
      <c r="Y528" s="40"/>
      <c r="Z528" s="40"/>
      <c r="AA528" s="40"/>
      <c r="AB528" s="40"/>
      <c r="AC528" s="40"/>
      <c r="AD528" s="40"/>
      <c r="AE528" s="40"/>
      <c r="AF528" s="40"/>
      <c r="AG528" s="40"/>
      <c r="AH528" s="40"/>
      <c r="AI528" s="40"/>
      <c r="AJ528" s="40"/>
      <c r="AK528" s="40"/>
      <c r="AL528" s="40"/>
      <c r="AM528" s="40"/>
      <c r="AN528" s="40"/>
      <c r="AO528" s="40"/>
      <c r="AP528" s="40"/>
    </row>
    <row r="529" spans="2:42" x14ac:dyDescent="0.2">
      <c r="B529" s="40"/>
      <c r="C529" s="40"/>
      <c r="D529" s="40"/>
      <c r="E529" s="40"/>
      <c r="F529" s="40"/>
      <c r="G529" s="40"/>
      <c r="H529" s="40"/>
      <c r="I529" s="40"/>
      <c r="J529" s="40"/>
      <c r="K529" s="40"/>
      <c r="L529" s="40"/>
      <c r="M529" s="40"/>
      <c r="N529" s="40"/>
      <c r="O529" s="40"/>
      <c r="P529" s="40"/>
      <c r="Q529" s="40"/>
      <c r="R529" s="40"/>
      <c r="S529" s="40"/>
      <c r="T529" s="40"/>
      <c r="U529" s="40"/>
      <c r="V529" s="40"/>
      <c r="W529" s="40"/>
      <c r="X529" s="40"/>
      <c r="Y529" s="40"/>
      <c r="Z529" s="40"/>
      <c r="AA529" s="40"/>
      <c r="AB529" s="40"/>
      <c r="AC529" s="40"/>
      <c r="AD529" s="40"/>
      <c r="AE529" s="40"/>
      <c r="AF529" s="40"/>
      <c r="AG529" s="40"/>
      <c r="AH529" s="40"/>
      <c r="AI529" s="40"/>
      <c r="AJ529" s="40"/>
      <c r="AK529" s="40"/>
      <c r="AL529" s="40"/>
      <c r="AM529" s="40"/>
      <c r="AN529" s="40"/>
      <c r="AO529" s="40"/>
      <c r="AP529" s="40"/>
    </row>
    <row r="530" spans="2:42" x14ac:dyDescent="0.2">
      <c r="B530" s="40"/>
      <c r="C530" s="40"/>
      <c r="D530" s="40"/>
      <c r="E530" s="40"/>
      <c r="F530" s="40"/>
      <c r="G530" s="40"/>
      <c r="H530" s="40"/>
      <c r="I530" s="40"/>
      <c r="J530" s="40"/>
      <c r="K530" s="40"/>
      <c r="L530" s="40"/>
      <c r="M530" s="40"/>
      <c r="N530" s="40"/>
      <c r="O530" s="40"/>
      <c r="P530" s="40"/>
      <c r="Q530" s="40"/>
      <c r="R530" s="40"/>
      <c r="S530" s="40"/>
      <c r="T530" s="40"/>
      <c r="U530" s="40"/>
      <c r="V530" s="40"/>
      <c r="W530" s="40"/>
      <c r="X530" s="40"/>
      <c r="Y530" s="40"/>
      <c r="Z530" s="40"/>
      <c r="AA530" s="40"/>
      <c r="AB530" s="40"/>
      <c r="AC530" s="40"/>
      <c r="AD530" s="40"/>
      <c r="AE530" s="40"/>
      <c r="AF530" s="40"/>
      <c r="AG530" s="40"/>
      <c r="AH530" s="40"/>
      <c r="AI530" s="40"/>
      <c r="AJ530" s="40"/>
      <c r="AK530" s="40"/>
      <c r="AL530" s="40"/>
      <c r="AM530" s="40"/>
      <c r="AN530" s="40"/>
      <c r="AO530" s="40"/>
      <c r="AP530" s="40"/>
    </row>
    <row r="531" spans="2:42" x14ac:dyDescent="0.2">
      <c r="B531" s="40"/>
      <c r="C531" s="40"/>
      <c r="D531" s="40"/>
      <c r="E531" s="40"/>
      <c r="F531" s="40"/>
      <c r="G531" s="40"/>
      <c r="H531" s="40"/>
      <c r="I531" s="40"/>
      <c r="J531" s="40"/>
      <c r="K531" s="40"/>
      <c r="L531" s="40"/>
      <c r="M531" s="40"/>
      <c r="N531" s="40"/>
      <c r="O531" s="40"/>
      <c r="P531" s="40"/>
      <c r="Q531" s="40"/>
      <c r="R531" s="40"/>
      <c r="S531" s="40"/>
      <c r="T531" s="40"/>
      <c r="U531" s="40"/>
      <c r="V531" s="40"/>
      <c r="W531" s="40"/>
      <c r="X531" s="40"/>
      <c r="Y531" s="40"/>
      <c r="Z531" s="40"/>
      <c r="AA531" s="40"/>
      <c r="AB531" s="40"/>
      <c r="AC531" s="40"/>
      <c r="AD531" s="40"/>
      <c r="AE531" s="40"/>
      <c r="AF531" s="40"/>
      <c r="AG531" s="40"/>
      <c r="AH531" s="40"/>
      <c r="AI531" s="40"/>
      <c r="AJ531" s="40"/>
      <c r="AK531" s="40"/>
      <c r="AL531" s="40"/>
      <c r="AM531" s="40"/>
      <c r="AN531" s="40"/>
      <c r="AO531" s="40"/>
      <c r="AP531" s="40"/>
    </row>
    <row r="532" spans="2:42" x14ac:dyDescent="0.2">
      <c r="B532" s="40"/>
      <c r="C532" s="40"/>
      <c r="D532" s="40"/>
      <c r="E532" s="40"/>
      <c r="F532" s="40"/>
      <c r="G532" s="40"/>
      <c r="H532" s="40"/>
      <c r="I532" s="40"/>
      <c r="J532" s="40"/>
      <c r="K532" s="40"/>
      <c r="L532" s="40"/>
      <c r="M532" s="40"/>
      <c r="N532" s="40"/>
      <c r="O532" s="40"/>
      <c r="P532" s="40"/>
      <c r="Q532" s="40"/>
      <c r="R532" s="40"/>
      <c r="S532" s="40"/>
      <c r="T532" s="40"/>
      <c r="U532" s="40"/>
      <c r="V532" s="40"/>
      <c r="W532" s="40"/>
      <c r="X532" s="40"/>
      <c r="Y532" s="40"/>
      <c r="Z532" s="40"/>
      <c r="AA532" s="40"/>
      <c r="AB532" s="40"/>
      <c r="AC532" s="40"/>
      <c r="AD532" s="40"/>
      <c r="AE532" s="40"/>
      <c r="AF532" s="40"/>
      <c r="AG532" s="40"/>
      <c r="AH532" s="40"/>
      <c r="AI532" s="40"/>
      <c r="AJ532" s="40"/>
      <c r="AK532" s="40"/>
      <c r="AL532" s="40"/>
      <c r="AM532" s="40"/>
      <c r="AN532" s="40"/>
      <c r="AO532" s="40"/>
      <c r="AP532" s="40"/>
    </row>
    <row r="533" spans="2:42" x14ac:dyDescent="0.2">
      <c r="B533" s="40"/>
      <c r="C533" s="40"/>
      <c r="D533" s="40"/>
      <c r="E533" s="40"/>
      <c r="F533" s="40"/>
      <c r="G533" s="40"/>
      <c r="H533" s="40"/>
      <c r="I533" s="40"/>
      <c r="J533" s="40"/>
      <c r="K533" s="40"/>
      <c r="L533" s="40"/>
      <c r="M533" s="40"/>
      <c r="N533" s="40"/>
      <c r="O533" s="40"/>
      <c r="P533" s="40"/>
      <c r="Q533" s="40"/>
      <c r="R533" s="40"/>
      <c r="S533" s="40"/>
      <c r="T533" s="40"/>
      <c r="U533" s="40"/>
      <c r="V533" s="40"/>
      <c r="W533" s="40"/>
      <c r="X533" s="40"/>
      <c r="Y533" s="40"/>
      <c r="Z533" s="40"/>
      <c r="AA533" s="40"/>
      <c r="AB533" s="40"/>
      <c r="AC533" s="40"/>
      <c r="AD533" s="40"/>
      <c r="AE533" s="40"/>
      <c r="AF533" s="40"/>
      <c r="AG533" s="40"/>
      <c r="AH533" s="40"/>
      <c r="AI533" s="40"/>
      <c r="AJ533" s="40"/>
      <c r="AK533" s="40"/>
      <c r="AL533" s="40"/>
      <c r="AM533" s="40"/>
      <c r="AN533" s="40"/>
      <c r="AO533" s="40"/>
      <c r="AP533" s="40"/>
    </row>
    <row r="534" spans="2:42" x14ac:dyDescent="0.2">
      <c r="B534" s="40"/>
      <c r="C534" s="40"/>
      <c r="D534" s="40"/>
      <c r="E534" s="40"/>
      <c r="F534" s="40"/>
      <c r="G534" s="40"/>
      <c r="H534" s="40"/>
      <c r="I534" s="40"/>
      <c r="J534" s="40"/>
      <c r="K534" s="40"/>
      <c r="L534" s="40"/>
      <c r="M534" s="40"/>
      <c r="N534" s="40"/>
      <c r="O534" s="40"/>
      <c r="P534" s="40"/>
      <c r="Q534" s="40"/>
      <c r="R534" s="40"/>
      <c r="S534" s="40"/>
      <c r="T534" s="40"/>
      <c r="U534" s="40"/>
      <c r="V534" s="40"/>
      <c r="W534" s="40"/>
      <c r="X534" s="40"/>
      <c r="Y534" s="40"/>
      <c r="Z534" s="40"/>
      <c r="AA534" s="40"/>
      <c r="AB534" s="40"/>
      <c r="AC534" s="40"/>
      <c r="AD534" s="40"/>
      <c r="AE534" s="40"/>
      <c r="AF534" s="40"/>
      <c r="AG534" s="40"/>
      <c r="AH534" s="40"/>
      <c r="AI534" s="40"/>
      <c r="AJ534" s="40"/>
      <c r="AK534" s="40"/>
      <c r="AL534" s="40"/>
      <c r="AM534" s="40"/>
      <c r="AN534" s="40"/>
      <c r="AO534" s="40"/>
      <c r="AP534" s="40"/>
    </row>
    <row r="535" spans="2:42" x14ac:dyDescent="0.2">
      <c r="B535" s="40"/>
      <c r="C535" s="40"/>
      <c r="D535" s="40"/>
      <c r="E535" s="40"/>
      <c r="F535" s="40"/>
      <c r="G535" s="40"/>
      <c r="H535" s="40"/>
      <c r="I535" s="40"/>
      <c r="J535" s="40"/>
      <c r="K535" s="40"/>
      <c r="L535" s="40"/>
      <c r="M535" s="40"/>
      <c r="N535" s="40"/>
      <c r="O535" s="40"/>
      <c r="P535" s="40"/>
      <c r="Q535" s="40"/>
      <c r="R535" s="40"/>
      <c r="S535" s="40"/>
      <c r="T535" s="40"/>
      <c r="U535" s="40"/>
      <c r="V535" s="40"/>
      <c r="W535" s="40"/>
      <c r="X535" s="40"/>
      <c r="Y535" s="40"/>
      <c r="Z535" s="40"/>
      <c r="AA535" s="40"/>
      <c r="AB535" s="40"/>
      <c r="AC535" s="40"/>
      <c r="AD535" s="40"/>
      <c r="AE535" s="40"/>
      <c r="AF535" s="40"/>
      <c r="AG535" s="40"/>
      <c r="AH535" s="40"/>
      <c r="AI535" s="40"/>
      <c r="AJ535" s="40"/>
      <c r="AK535" s="40"/>
      <c r="AL535" s="40"/>
      <c r="AM535" s="40"/>
      <c r="AN535" s="40"/>
      <c r="AO535" s="40"/>
      <c r="AP535" s="40"/>
    </row>
    <row r="536" spans="2:42" x14ac:dyDescent="0.2">
      <c r="B536" s="40"/>
      <c r="C536" s="40"/>
      <c r="D536" s="40"/>
      <c r="E536" s="40"/>
      <c r="F536" s="40"/>
      <c r="G536" s="40"/>
      <c r="H536" s="40"/>
      <c r="I536" s="40"/>
      <c r="J536" s="40"/>
      <c r="K536" s="40"/>
      <c r="L536" s="40"/>
      <c r="M536" s="40"/>
      <c r="N536" s="40"/>
      <c r="O536" s="40"/>
      <c r="P536" s="40"/>
      <c r="Q536" s="40"/>
      <c r="R536" s="40"/>
      <c r="S536" s="40"/>
      <c r="T536" s="40"/>
      <c r="U536" s="40"/>
      <c r="V536" s="40"/>
      <c r="W536" s="40"/>
      <c r="X536" s="40"/>
      <c r="Y536" s="40"/>
      <c r="Z536" s="40"/>
      <c r="AA536" s="40"/>
      <c r="AB536" s="40"/>
      <c r="AC536" s="40"/>
      <c r="AD536" s="40"/>
      <c r="AE536" s="40"/>
      <c r="AF536" s="40"/>
      <c r="AG536" s="40"/>
      <c r="AH536" s="40"/>
      <c r="AI536" s="40"/>
      <c r="AJ536" s="40"/>
      <c r="AK536" s="40"/>
      <c r="AL536" s="40"/>
      <c r="AM536" s="40"/>
      <c r="AN536" s="40"/>
      <c r="AO536" s="40"/>
      <c r="AP536" s="40"/>
    </row>
    <row r="537" spans="2:42" x14ac:dyDescent="0.2">
      <c r="B537" s="40"/>
      <c r="C537" s="40"/>
      <c r="D537" s="40"/>
      <c r="E537" s="40"/>
      <c r="F537" s="40"/>
      <c r="G537" s="40"/>
      <c r="H537" s="40"/>
      <c r="I537" s="40"/>
      <c r="J537" s="40"/>
      <c r="K537" s="40"/>
      <c r="L537" s="40"/>
      <c r="M537" s="40"/>
      <c r="N537" s="40"/>
      <c r="O537" s="40"/>
      <c r="P537" s="40"/>
      <c r="Q537" s="40"/>
      <c r="R537" s="40"/>
      <c r="S537" s="40"/>
      <c r="T537" s="40"/>
      <c r="U537" s="40"/>
      <c r="V537" s="40"/>
      <c r="W537" s="40"/>
      <c r="X537" s="40"/>
      <c r="Y537" s="40"/>
      <c r="Z537" s="40"/>
      <c r="AA537" s="40"/>
      <c r="AB537" s="40"/>
      <c r="AC537" s="40"/>
      <c r="AD537" s="40"/>
      <c r="AE537" s="40"/>
      <c r="AF537" s="40"/>
      <c r="AG537" s="40"/>
      <c r="AH537" s="40"/>
      <c r="AI537" s="40"/>
      <c r="AJ537" s="40"/>
      <c r="AK537" s="40"/>
      <c r="AL537" s="40"/>
      <c r="AM537" s="40"/>
      <c r="AN537" s="40"/>
      <c r="AO537" s="40"/>
      <c r="AP537" s="40"/>
    </row>
    <row r="538" spans="2:42" x14ac:dyDescent="0.2">
      <c r="B538" s="40"/>
      <c r="C538" s="40"/>
      <c r="D538" s="40"/>
      <c r="E538" s="40"/>
      <c r="F538" s="40"/>
      <c r="G538" s="40"/>
      <c r="H538" s="40"/>
      <c r="I538" s="40"/>
      <c r="J538" s="40"/>
      <c r="K538" s="40"/>
      <c r="L538" s="40"/>
      <c r="M538" s="40"/>
      <c r="N538" s="40"/>
      <c r="O538" s="40"/>
      <c r="P538" s="40"/>
      <c r="Q538" s="40"/>
      <c r="R538" s="40"/>
      <c r="S538" s="40"/>
      <c r="T538" s="40"/>
      <c r="U538" s="40"/>
      <c r="V538" s="40"/>
      <c r="W538" s="40"/>
      <c r="X538" s="40"/>
      <c r="Y538" s="40"/>
      <c r="Z538" s="40"/>
      <c r="AA538" s="40"/>
      <c r="AB538" s="40"/>
      <c r="AC538" s="40"/>
      <c r="AD538" s="40"/>
      <c r="AE538" s="40"/>
      <c r="AF538" s="40"/>
      <c r="AG538" s="40"/>
      <c r="AH538" s="40"/>
      <c r="AI538" s="40"/>
      <c r="AJ538" s="40"/>
      <c r="AK538" s="40"/>
      <c r="AL538" s="40"/>
      <c r="AM538" s="40"/>
      <c r="AN538" s="40"/>
      <c r="AO538" s="40"/>
      <c r="AP538" s="40"/>
    </row>
    <row r="539" spans="2:42" x14ac:dyDescent="0.2">
      <c r="B539" s="40"/>
      <c r="C539" s="40"/>
      <c r="D539" s="40"/>
      <c r="E539" s="40"/>
      <c r="F539" s="40"/>
      <c r="G539" s="40"/>
      <c r="H539" s="40"/>
      <c r="I539" s="40"/>
      <c r="J539" s="40"/>
      <c r="K539" s="40"/>
      <c r="L539" s="40"/>
      <c r="M539" s="40"/>
      <c r="N539" s="40"/>
      <c r="O539" s="40"/>
      <c r="P539" s="40"/>
      <c r="Q539" s="40"/>
      <c r="R539" s="40"/>
      <c r="S539" s="40"/>
      <c r="T539" s="40"/>
      <c r="U539" s="40"/>
      <c r="V539" s="40"/>
      <c r="W539" s="40"/>
      <c r="X539" s="40"/>
      <c r="Y539" s="40"/>
      <c r="Z539" s="40"/>
      <c r="AA539" s="40"/>
      <c r="AB539" s="40"/>
      <c r="AC539" s="40"/>
      <c r="AD539" s="40"/>
      <c r="AE539" s="40"/>
      <c r="AF539" s="40"/>
      <c r="AG539" s="40"/>
      <c r="AH539" s="40"/>
      <c r="AI539" s="40"/>
      <c r="AJ539" s="40"/>
      <c r="AK539" s="40"/>
      <c r="AL539" s="40"/>
      <c r="AM539" s="40"/>
      <c r="AN539" s="40"/>
      <c r="AO539" s="40"/>
      <c r="AP539" s="40"/>
    </row>
    <row r="540" spans="2:42" x14ac:dyDescent="0.2">
      <c r="B540" s="40"/>
      <c r="C540" s="40"/>
      <c r="D540" s="40"/>
      <c r="E540" s="40"/>
      <c r="F540" s="40"/>
      <c r="G540" s="40"/>
      <c r="H540" s="40"/>
      <c r="I540" s="40"/>
      <c r="J540" s="40"/>
      <c r="K540" s="40"/>
      <c r="L540" s="40"/>
      <c r="M540" s="40"/>
      <c r="N540" s="40"/>
      <c r="O540" s="40"/>
      <c r="P540" s="40"/>
      <c r="Q540" s="40"/>
      <c r="R540" s="40"/>
      <c r="S540" s="40"/>
      <c r="T540" s="40"/>
      <c r="U540" s="40"/>
      <c r="V540" s="40"/>
      <c r="W540" s="40"/>
      <c r="X540" s="40"/>
      <c r="Y540" s="40"/>
      <c r="Z540" s="40"/>
      <c r="AA540" s="40"/>
      <c r="AB540" s="40"/>
      <c r="AC540" s="40"/>
      <c r="AD540" s="40"/>
      <c r="AE540" s="40"/>
      <c r="AF540" s="40"/>
      <c r="AG540" s="40"/>
      <c r="AH540" s="40"/>
      <c r="AI540" s="40"/>
      <c r="AJ540" s="40"/>
      <c r="AK540" s="40"/>
      <c r="AL540" s="40"/>
      <c r="AM540" s="40"/>
      <c r="AN540" s="40"/>
      <c r="AO540" s="40"/>
      <c r="AP540" s="40"/>
    </row>
    <row r="541" spans="2:42" x14ac:dyDescent="0.2">
      <c r="B541" s="40"/>
      <c r="C541" s="40"/>
      <c r="D541" s="40"/>
      <c r="E541" s="40"/>
      <c r="F541" s="40"/>
      <c r="G541" s="40"/>
      <c r="H541" s="40"/>
      <c r="I541" s="40"/>
      <c r="J541" s="40"/>
      <c r="K541" s="40"/>
      <c r="L541" s="40"/>
      <c r="M541" s="40"/>
      <c r="N541" s="40"/>
      <c r="O541" s="40"/>
      <c r="P541" s="40"/>
      <c r="Q541" s="40"/>
      <c r="R541" s="40"/>
      <c r="S541" s="40"/>
      <c r="T541" s="40"/>
      <c r="U541" s="40"/>
      <c r="V541" s="40"/>
      <c r="W541" s="40"/>
      <c r="X541" s="40"/>
      <c r="Y541" s="40"/>
      <c r="Z541" s="40"/>
      <c r="AA541" s="40"/>
      <c r="AB541" s="40"/>
      <c r="AC541" s="40"/>
      <c r="AD541" s="40"/>
      <c r="AE541" s="40"/>
      <c r="AF541" s="40"/>
      <c r="AG541" s="40"/>
      <c r="AH541" s="40"/>
      <c r="AI541" s="40"/>
      <c r="AJ541" s="40"/>
      <c r="AK541" s="40"/>
      <c r="AL541" s="40"/>
      <c r="AM541" s="40"/>
      <c r="AN541" s="40"/>
      <c r="AO541" s="40"/>
      <c r="AP541" s="40"/>
    </row>
    <row r="542" spans="2:42" x14ac:dyDescent="0.2">
      <c r="B542" s="40"/>
      <c r="C542" s="40"/>
      <c r="D542" s="40"/>
      <c r="E542" s="40"/>
      <c r="F542" s="40"/>
      <c r="G542" s="40"/>
      <c r="H542" s="40"/>
      <c r="I542" s="40"/>
      <c r="J542" s="40"/>
      <c r="K542" s="40"/>
      <c r="L542" s="40"/>
      <c r="M542" s="40"/>
      <c r="N542" s="40"/>
      <c r="O542" s="40"/>
      <c r="P542" s="40"/>
      <c r="Q542" s="40"/>
      <c r="R542" s="40"/>
      <c r="S542" s="40"/>
      <c r="T542" s="40"/>
      <c r="U542" s="40"/>
      <c r="V542" s="40"/>
      <c r="W542" s="40"/>
      <c r="X542" s="40"/>
      <c r="Y542" s="40"/>
      <c r="Z542" s="40"/>
      <c r="AA542" s="40"/>
      <c r="AB542" s="40"/>
      <c r="AC542" s="40"/>
      <c r="AD542" s="40"/>
      <c r="AE542" s="40"/>
      <c r="AF542" s="40"/>
      <c r="AG542" s="40"/>
      <c r="AH542" s="40"/>
      <c r="AI542" s="40"/>
      <c r="AJ542" s="40"/>
      <c r="AK542" s="40"/>
      <c r="AL542" s="40"/>
      <c r="AM542" s="40"/>
      <c r="AN542" s="40"/>
      <c r="AO542" s="40"/>
      <c r="AP542" s="40"/>
    </row>
    <row r="543" spans="2:42" x14ac:dyDescent="0.2">
      <c r="B543" s="40"/>
      <c r="C543" s="40"/>
      <c r="D543" s="40"/>
      <c r="E543" s="40"/>
      <c r="F543" s="40"/>
      <c r="G543" s="40"/>
      <c r="H543" s="40"/>
      <c r="I543" s="40"/>
      <c r="J543" s="40"/>
      <c r="K543" s="40"/>
      <c r="L543" s="40"/>
      <c r="M543" s="40"/>
      <c r="N543" s="40"/>
      <c r="O543" s="40"/>
      <c r="P543" s="40"/>
      <c r="Q543" s="40"/>
      <c r="R543" s="40"/>
      <c r="S543" s="40"/>
      <c r="T543" s="40"/>
      <c r="U543" s="40"/>
      <c r="V543" s="40"/>
      <c r="W543" s="40"/>
      <c r="X543" s="40"/>
      <c r="Y543" s="40"/>
      <c r="Z543" s="40"/>
      <c r="AA543" s="40"/>
      <c r="AB543" s="40"/>
      <c r="AC543" s="40"/>
      <c r="AD543" s="40"/>
      <c r="AE543" s="40"/>
      <c r="AF543" s="40"/>
      <c r="AG543" s="40"/>
      <c r="AH543" s="40"/>
      <c r="AI543" s="40"/>
      <c r="AJ543" s="40"/>
      <c r="AK543" s="40"/>
      <c r="AL543" s="40"/>
      <c r="AM543" s="40"/>
      <c r="AN543" s="40"/>
      <c r="AO543" s="40"/>
      <c r="AP543" s="40"/>
    </row>
    <row r="544" spans="2:42" x14ac:dyDescent="0.2">
      <c r="B544" s="40"/>
      <c r="C544" s="40"/>
      <c r="D544" s="40"/>
      <c r="E544" s="40"/>
      <c r="F544" s="40"/>
      <c r="G544" s="40"/>
      <c r="H544" s="40"/>
      <c r="I544" s="40"/>
      <c r="J544" s="40"/>
      <c r="K544" s="40"/>
      <c r="L544" s="40"/>
      <c r="M544" s="40"/>
      <c r="N544" s="40"/>
      <c r="O544" s="40"/>
      <c r="P544" s="40"/>
      <c r="Q544" s="40"/>
      <c r="R544" s="40"/>
      <c r="S544" s="40"/>
      <c r="T544" s="40"/>
      <c r="U544" s="40"/>
      <c r="V544" s="40"/>
      <c r="W544" s="40"/>
      <c r="X544" s="40"/>
      <c r="Y544" s="40"/>
      <c r="Z544" s="40"/>
      <c r="AA544" s="40"/>
      <c r="AB544" s="40"/>
      <c r="AC544" s="40"/>
      <c r="AD544" s="40"/>
      <c r="AE544" s="40"/>
      <c r="AF544" s="40"/>
      <c r="AG544" s="40"/>
      <c r="AH544" s="40"/>
      <c r="AI544" s="40"/>
      <c r="AJ544" s="40"/>
      <c r="AK544" s="40"/>
      <c r="AL544" s="40"/>
      <c r="AM544" s="40"/>
      <c r="AN544" s="40"/>
      <c r="AO544" s="40"/>
      <c r="AP544" s="40"/>
    </row>
    <row r="545" spans="2:42" x14ac:dyDescent="0.2">
      <c r="B545" s="40"/>
      <c r="C545" s="40"/>
      <c r="D545" s="40"/>
      <c r="E545" s="40"/>
      <c r="F545" s="40"/>
      <c r="G545" s="40"/>
      <c r="H545" s="40"/>
      <c r="I545" s="40"/>
      <c r="J545" s="40"/>
      <c r="K545" s="40"/>
      <c r="L545" s="40"/>
      <c r="M545" s="40"/>
      <c r="N545" s="40"/>
      <c r="O545" s="40"/>
      <c r="P545" s="40"/>
      <c r="Q545" s="40"/>
      <c r="R545" s="40"/>
      <c r="S545" s="40"/>
      <c r="T545" s="40"/>
      <c r="U545" s="40"/>
      <c r="V545" s="40"/>
      <c r="W545" s="40"/>
      <c r="X545" s="40"/>
      <c r="Y545" s="40"/>
      <c r="Z545" s="40"/>
      <c r="AA545" s="40"/>
      <c r="AB545" s="40"/>
      <c r="AC545" s="40"/>
      <c r="AD545" s="40"/>
      <c r="AE545" s="40"/>
      <c r="AF545" s="40"/>
      <c r="AG545" s="40"/>
      <c r="AH545" s="40"/>
      <c r="AI545" s="40"/>
      <c r="AJ545" s="40"/>
      <c r="AK545" s="40"/>
      <c r="AL545" s="40"/>
      <c r="AM545" s="40"/>
      <c r="AN545" s="40"/>
      <c r="AO545" s="40"/>
      <c r="AP545" s="40"/>
    </row>
    <row r="546" spans="2:42" x14ac:dyDescent="0.2">
      <c r="B546" s="40"/>
      <c r="C546" s="40"/>
      <c r="D546" s="40"/>
      <c r="E546" s="40"/>
      <c r="F546" s="40"/>
      <c r="G546" s="40"/>
      <c r="H546" s="40"/>
      <c r="I546" s="40"/>
      <c r="J546" s="40"/>
      <c r="K546" s="40"/>
      <c r="L546" s="40"/>
      <c r="M546" s="40"/>
      <c r="N546" s="40"/>
      <c r="O546" s="40"/>
      <c r="P546" s="40"/>
      <c r="Q546" s="40"/>
      <c r="R546" s="40"/>
      <c r="S546" s="40"/>
      <c r="T546" s="40"/>
      <c r="U546" s="40"/>
      <c r="V546" s="40"/>
      <c r="W546" s="40"/>
      <c r="X546" s="40"/>
      <c r="Y546" s="40"/>
      <c r="Z546" s="40"/>
      <c r="AA546" s="40"/>
      <c r="AB546" s="40"/>
      <c r="AC546" s="40"/>
      <c r="AD546" s="40"/>
      <c r="AE546" s="40"/>
      <c r="AF546" s="40"/>
      <c r="AG546" s="40"/>
      <c r="AH546" s="40"/>
      <c r="AI546" s="40"/>
      <c r="AJ546" s="40"/>
      <c r="AK546" s="40"/>
      <c r="AL546" s="40"/>
      <c r="AM546" s="40"/>
      <c r="AN546" s="40"/>
      <c r="AO546" s="40"/>
      <c r="AP546" s="40"/>
    </row>
    <row r="547" spans="2:42" x14ac:dyDescent="0.2">
      <c r="B547" s="40"/>
      <c r="C547" s="40"/>
      <c r="D547" s="40"/>
      <c r="E547" s="40"/>
      <c r="F547" s="40"/>
      <c r="G547" s="40"/>
      <c r="H547" s="40"/>
      <c r="I547" s="40"/>
      <c r="J547" s="40"/>
      <c r="K547" s="40"/>
      <c r="L547" s="40"/>
      <c r="M547" s="40"/>
      <c r="N547" s="40"/>
      <c r="O547" s="40"/>
      <c r="P547" s="40"/>
      <c r="Q547" s="40"/>
      <c r="R547" s="40"/>
      <c r="S547" s="40"/>
      <c r="T547" s="40"/>
      <c r="U547" s="40"/>
      <c r="V547" s="40"/>
      <c r="W547" s="40"/>
      <c r="X547" s="40"/>
      <c r="Y547" s="40"/>
      <c r="Z547" s="40"/>
      <c r="AA547" s="40"/>
      <c r="AB547" s="40"/>
      <c r="AC547" s="40"/>
      <c r="AD547" s="40"/>
      <c r="AE547" s="40"/>
      <c r="AF547" s="40"/>
      <c r="AG547" s="40"/>
      <c r="AH547" s="40"/>
      <c r="AI547" s="40"/>
      <c r="AJ547" s="40"/>
      <c r="AK547" s="40"/>
      <c r="AL547" s="40"/>
      <c r="AM547" s="40"/>
      <c r="AN547" s="40"/>
      <c r="AO547" s="40"/>
      <c r="AP547" s="40"/>
    </row>
    <row r="548" spans="2:42" x14ac:dyDescent="0.2">
      <c r="B548" s="40"/>
      <c r="C548" s="40"/>
      <c r="D548" s="40"/>
      <c r="E548" s="40"/>
      <c r="F548" s="40"/>
      <c r="G548" s="40"/>
      <c r="H548" s="40"/>
      <c r="I548" s="40"/>
      <c r="J548" s="40"/>
      <c r="K548" s="40"/>
      <c r="L548" s="40"/>
      <c r="M548" s="40"/>
      <c r="N548" s="40"/>
      <c r="O548" s="40"/>
      <c r="P548" s="40"/>
      <c r="Q548" s="40"/>
      <c r="R548" s="40"/>
      <c r="S548" s="40"/>
      <c r="T548" s="40"/>
      <c r="U548" s="40"/>
      <c r="V548" s="40"/>
      <c r="W548" s="40"/>
      <c r="X548" s="40"/>
      <c r="Y548" s="40"/>
      <c r="Z548" s="40"/>
      <c r="AA548" s="40"/>
      <c r="AB548" s="40"/>
      <c r="AC548" s="40"/>
      <c r="AD548" s="40"/>
      <c r="AE548" s="40"/>
      <c r="AF548" s="40"/>
      <c r="AG548" s="40"/>
      <c r="AH548" s="40"/>
      <c r="AI548" s="40"/>
      <c r="AJ548" s="40"/>
      <c r="AK548" s="40"/>
      <c r="AL548" s="40"/>
      <c r="AM548" s="40"/>
      <c r="AN548" s="40"/>
      <c r="AO548" s="40"/>
      <c r="AP548" s="40"/>
    </row>
    <row r="549" spans="2:42" x14ac:dyDescent="0.2">
      <c r="B549" s="40"/>
      <c r="C549" s="40"/>
      <c r="D549" s="40"/>
      <c r="E549" s="40"/>
      <c r="F549" s="40"/>
      <c r="G549" s="40"/>
      <c r="H549" s="40"/>
      <c r="I549" s="40"/>
      <c r="J549" s="40"/>
      <c r="K549" s="40"/>
      <c r="L549" s="40"/>
      <c r="M549" s="40"/>
      <c r="N549" s="40"/>
      <c r="O549" s="40"/>
      <c r="P549" s="40"/>
      <c r="Q549" s="40"/>
      <c r="R549" s="40"/>
      <c r="S549" s="40"/>
      <c r="T549" s="40"/>
      <c r="U549" s="40"/>
      <c r="V549" s="40"/>
      <c r="W549" s="40"/>
      <c r="X549" s="40"/>
      <c r="Y549" s="40"/>
      <c r="Z549" s="40"/>
      <c r="AA549" s="40"/>
      <c r="AB549" s="40"/>
      <c r="AC549" s="40"/>
      <c r="AD549" s="40"/>
      <c r="AE549" s="40"/>
      <c r="AF549" s="40"/>
      <c r="AG549" s="40"/>
      <c r="AH549" s="40"/>
      <c r="AI549" s="40"/>
      <c r="AJ549" s="40"/>
      <c r="AK549" s="40"/>
      <c r="AL549" s="40"/>
      <c r="AM549" s="40"/>
      <c r="AN549" s="40"/>
      <c r="AO549" s="40"/>
      <c r="AP549" s="40"/>
    </row>
    <row r="550" spans="2:42" x14ac:dyDescent="0.2">
      <c r="B550" s="40"/>
      <c r="C550" s="40"/>
      <c r="D550" s="40"/>
      <c r="E550" s="40"/>
      <c r="F550" s="40"/>
      <c r="G550" s="40"/>
      <c r="H550" s="40"/>
      <c r="I550" s="40"/>
      <c r="J550" s="40"/>
      <c r="K550" s="40"/>
      <c r="L550" s="40"/>
      <c r="M550" s="40"/>
      <c r="N550" s="40"/>
      <c r="O550" s="40"/>
      <c r="P550" s="40"/>
      <c r="Q550" s="40"/>
      <c r="R550" s="40"/>
      <c r="S550" s="40"/>
      <c r="T550" s="40"/>
      <c r="U550" s="40"/>
      <c r="V550" s="40"/>
      <c r="W550" s="40"/>
      <c r="X550" s="40"/>
      <c r="Y550" s="40"/>
      <c r="Z550" s="40"/>
      <c r="AA550" s="40"/>
      <c r="AB550" s="40"/>
      <c r="AC550" s="40"/>
      <c r="AD550" s="40"/>
      <c r="AE550" s="40"/>
      <c r="AF550" s="40"/>
      <c r="AG550" s="40"/>
      <c r="AH550" s="40"/>
      <c r="AI550" s="40"/>
      <c r="AJ550" s="40"/>
      <c r="AK550" s="40"/>
      <c r="AL550" s="40"/>
      <c r="AM550" s="40"/>
      <c r="AN550" s="40"/>
      <c r="AO550" s="40"/>
      <c r="AP550" s="40"/>
    </row>
    <row r="551" spans="2:42" x14ac:dyDescent="0.2">
      <c r="B551" s="40"/>
      <c r="C551" s="40"/>
      <c r="D551" s="40"/>
      <c r="E551" s="40"/>
      <c r="F551" s="40"/>
      <c r="G551" s="40"/>
      <c r="H551" s="40"/>
      <c r="I551" s="40"/>
      <c r="J551" s="40"/>
      <c r="K551" s="40"/>
      <c r="L551" s="40"/>
      <c r="M551" s="40"/>
      <c r="N551" s="40"/>
      <c r="O551" s="40"/>
      <c r="P551" s="40"/>
      <c r="Q551" s="40"/>
      <c r="R551" s="40"/>
      <c r="S551" s="40"/>
      <c r="T551" s="40"/>
      <c r="U551" s="40"/>
      <c r="V551" s="40"/>
      <c r="W551" s="40"/>
      <c r="X551" s="40"/>
      <c r="Y551" s="40"/>
      <c r="Z551" s="40"/>
      <c r="AA551" s="40"/>
      <c r="AB551" s="40"/>
      <c r="AC551" s="40"/>
      <c r="AD551" s="40"/>
      <c r="AE551" s="40"/>
      <c r="AF551" s="40"/>
      <c r="AG551" s="40"/>
      <c r="AH551" s="40"/>
      <c r="AI551" s="40"/>
      <c r="AJ551" s="40"/>
      <c r="AK551" s="40"/>
      <c r="AL551" s="40"/>
      <c r="AM551" s="40"/>
      <c r="AN551" s="40"/>
      <c r="AO551" s="40"/>
      <c r="AP551" s="40"/>
    </row>
    <row r="552" spans="2:42" x14ac:dyDescent="0.2">
      <c r="B552" s="40"/>
      <c r="C552" s="40"/>
      <c r="D552" s="40"/>
      <c r="E552" s="40"/>
      <c r="F552" s="40"/>
      <c r="G552" s="40"/>
      <c r="H552" s="40"/>
      <c r="I552" s="40"/>
      <c r="J552" s="40"/>
      <c r="K552" s="40"/>
      <c r="L552" s="40"/>
      <c r="M552" s="40"/>
      <c r="N552" s="40"/>
      <c r="O552" s="40"/>
      <c r="P552" s="40"/>
      <c r="Q552" s="40"/>
      <c r="R552" s="40"/>
      <c r="S552" s="40"/>
      <c r="T552" s="40"/>
      <c r="U552" s="40"/>
      <c r="V552" s="40"/>
      <c r="W552" s="40"/>
      <c r="X552" s="40"/>
      <c r="Y552" s="40"/>
      <c r="Z552" s="40"/>
      <c r="AA552" s="40"/>
      <c r="AB552" s="40"/>
      <c r="AC552" s="40"/>
      <c r="AD552" s="40"/>
      <c r="AE552" s="40"/>
      <c r="AF552" s="40"/>
      <c r="AG552" s="40"/>
      <c r="AH552" s="40"/>
      <c r="AI552" s="40"/>
      <c r="AJ552" s="40"/>
      <c r="AK552" s="40"/>
      <c r="AL552" s="40"/>
      <c r="AM552" s="40"/>
      <c r="AN552" s="40"/>
      <c r="AO552" s="40"/>
      <c r="AP552" s="40"/>
    </row>
    <row r="553" spans="2:42" x14ac:dyDescent="0.2">
      <c r="B553" s="40"/>
      <c r="C553" s="40"/>
      <c r="D553" s="40"/>
      <c r="E553" s="40"/>
      <c r="F553" s="40"/>
      <c r="G553" s="40"/>
      <c r="H553" s="40"/>
      <c r="I553" s="40"/>
      <c r="J553" s="40"/>
      <c r="K553" s="40"/>
      <c r="L553" s="40"/>
      <c r="M553" s="40"/>
      <c r="N553" s="40"/>
      <c r="O553" s="40"/>
      <c r="P553" s="40"/>
      <c r="Q553" s="40"/>
      <c r="R553" s="40"/>
      <c r="S553" s="40"/>
      <c r="T553" s="40"/>
      <c r="U553" s="40"/>
      <c r="V553" s="40"/>
      <c r="W553" s="40"/>
      <c r="X553" s="40"/>
      <c r="Y553" s="40"/>
      <c r="Z553" s="40"/>
      <c r="AA553" s="40"/>
      <c r="AB553" s="40"/>
      <c r="AC553" s="40"/>
      <c r="AD553" s="40"/>
      <c r="AE553" s="40"/>
      <c r="AF553" s="40"/>
      <c r="AG553" s="40"/>
      <c r="AH553" s="40"/>
      <c r="AI553" s="40"/>
      <c r="AJ553" s="40"/>
      <c r="AK553" s="40"/>
      <c r="AL553" s="40"/>
      <c r="AM553" s="40"/>
      <c r="AN553" s="40"/>
      <c r="AO553" s="40"/>
      <c r="AP553" s="40"/>
    </row>
    <row r="554" spans="2:42" x14ac:dyDescent="0.2">
      <c r="B554" s="40"/>
      <c r="C554" s="40"/>
      <c r="D554" s="40"/>
      <c r="E554" s="40"/>
      <c r="F554" s="40"/>
      <c r="G554" s="40"/>
      <c r="H554" s="40"/>
      <c r="I554" s="40"/>
      <c r="J554" s="40"/>
      <c r="K554" s="40"/>
      <c r="L554" s="40"/>
      <c r="M554" s="40"/>
      <c r="N554" s="40"/>
      <c r="O554" s="40"/>
      <c r="P554" s="40"/>
      <c r="Q554" s="40"/>
      <c r="R554" s="40"/>
      <c r="S554" s="40"/>
      <c r="T554" s="40"/>
      <c r="U554" s="40"/>
      <c r="V554" s="40"/>
      <c r="W554" s="40"/>
      <c r="X554" s="40"/>
      <c r="Y554" s="40"/>
      <c r="Z554" s="40"/>
      <c r="AA554" s="40"/>
      <c r="AB554" s="40"/>
      <c r="AC554" s="40"/>
      <c r="AD554" s="40"/>
      <c r="AE554" s="40"/>
      <c r="AF554" s="40"/>
      <c r="AG554" s="40"/>
      <c r="AH554" s="40"/>
      <c r="AI554" s="40"/>
      <c r="AJ554" s="40"/>
      <c r="AK554" s="40"/>
      <c r="AL554" s="40"/>
      <c r="AM554" s="40"/>
      <c r="AN554" s="40"/>
      <c r="AO554" s="40"/>
      <c r="AP554" s="40"/>
    </row>
    <row r="555" spans="2:42" x14ac:dyDescent="0.2">
      <c r="B555" s="40"/>
      <c r="C555" s="40"/>
      <c r="D555" s="40"/>
      <c r="E555" s="40"/>
      <c r="F555" s="40"/>
      <c r="G555" s="40"/>
      <c r="H555" s="40"/>
      <c r="I555" s="40"/>
      <c r="J555" s="40"/>
      <c r="K555" s="40"/>
      <c r="L555" s="40"/>
      <c r="M555" s="40"/>
      <c r="N555" s="40"/>
      <c r="O555" s="40"/>
      <c r="P555" s="40"/>
      <c r="Q555" s="40"/>
      <c r="R555" s="40"/>
      <c r="S555" s="40"/>
      <c r="T555" s="40"/>
      <c r="U555" s="40"/>
      <c r="V555" s="40"/>
      <c r="W555" s="40"/>
      <c r="X555" s="40"/>
      <c r="Y555" s="40"/>
      <c r="Z555" s="40"/>
      <c r="AA555" s="40"/>
      <c r="AB555" s="40"/>
      <c r="AC555" s="40"/>
      <c r="AD555" s="40"/>
      <c r="AE555" s="40"/>
      <c r="AF555" s="40"/>
      <c r="AG555" s="40"/>
      <c r="AH555" s="40"/>
      <c r="AI555" s="40"/>
      <c r="AJ555" s="40"/>
      <c r="AK555" s="40"/>
      <c r="AL555" s="40"/>
      <c r="AM555" s="40"/>
      <c r="AN555" s="40"/>
      <c r="AO555" s="40"/>
      <c r="AP555" s="40"/>
    </row>
    <row r="556" spans="2:42" x14ac:dyDescent="0.2">
      <c r="B556" s="40"/>
      <c r="C556" s="40"/>
      <c r="D556" s="40"/>
      <c r="E556" s="40"/>
      <c r="F556" s="40"/>
      <c r="G556" s="40"/>
      <c r="H556" s="40"/>
      <c r="I556" s="40"/>
      <c r="J556" s="40"/>
      <c r="K556" s="40"/>
      <c r="L556" s="40"/>
      <c r="M556" s="40"/>
      <c r="N556" s="40"/>
      <c r="O556" s="40"/>
      <c r="P556" s="40"/>
      <c r="Q556" s="40"/>
      <c r="R556" s="40"/>
      <c r="S556" s="40"/>
      <c r="T556" s="40"/>
      <c r="U556" s="40"/>
      <c r="V556" s="40"/>
      <c r="W556" s="40"/>
      <c r="X556" s="40"/>
      <c r="Y556" s="40"/>
      <c r="Z556" s="40"/>
      <c r="AA556" s="40"/>
      <c r="AB556" s="40"/>
      <c r="AC556" s="40"/>
      <c r="AD556" s="40"/>
      <c r="AE556" s="40"/>
      <c r="AF556" s="40"/>
      <c r="AG556" s="40"/>
      <c r="AH556" s="40"/>
      <c r="AI556" s="40"/>
      <c r="AJ556" s="40"/>
      <c r="AK556" s="40"/>
      <c r="AL556" s="40"/>
      <c r="AM556" s="40"/>
      <c r="AN556" s="40"/>
      <c r="AO556" s="40"/>
      <c r="AP556" s="40"/>
    </row>
    <row r="557" spans="2:42" x14ac:dyDescent="0.2">
      <c r="B557" s="40"/>
      <c r="C557" s="40"/>
      <c r="D557" s="40"/>
      <c r="E557" s="40"/>
      <c r="F557" s="40"/>
      <c r="G557" s="40"/>
      <c r="H557" s="40"/>
      <c r="I557" s="40"/>
      <c r="J557" s="40"/>
      <c r="K557" s="40"/>
      <c r="L557" s="40"/>
      <c r="M557" s="40"/>
      <c r="N557" s="40"/>
      <c r="O557" s="40"/>
      <c r="P557" s="40"/>
      <c r="Q557" s="40"/>
      <c r="R557" s="40"/>
      <c r="S557" s="40"/>
      <c r="T557" s="40"/>
      <c r="U557" s="40"/>
      <c r="V557" s="40"/>
      <c r="W557" s="40"/>
      <c r="X557" s="40"/>
      <c r="Y557" s="40"/>
      <c r="Z557" s="40"/>
      <c r="AA557" s="40"/>
      <c r="AB557" s="40"/>
      <c r="AC557" s="40"/>
      <c r="AD557" s="40"/>
      <c r="AE557" s="40"/>
      <c r="AF557" s="40"/>
      <c r="AG557" s="40"/>
      <c r="AH557" s="40"/>
      <c r="AI557" s="40"/>
      <c r="AJ557" s="40"/>
      <c r="AK557" s="40"/>
      <c r="AL557" s="40"/>
      <c r="AM557" s="40"/>
      <c r="AN557" s="40"/>
      <c r="AO557" s="40"/>
      <c r="AP557" s="40"/>
    </row>
    <row r="558" spans="2:42" x14ac:dyDescent="0.2">
      <c r="B558" s="40"/>
      <c r="C558" s="40"/>
      <c r="D558" s="40"/>
      <c r="E558" s="40"/>
      <c r="F558" s="40"/>
      <c r="G558" s="40"/>
      <c r="H558" s="40"/>
      <c r="I558" s="40"/>
      <c r="J558" s="40"/>
      <c r="K558" s="40"/>
      <c r="L558" s="40"/>
      <c r="M558" s="40"/>
      <c r="N558" s="40"/>
      <c r="O558" s="40"/>
      <c r="P558" s="40"/>
      <c r="Q558" s="40"/>
      <c r="R558" s="40"/>
      <c r="S558" s="40"/>
      <c r="T558" s="40"/>
      <c r="U558" s="40"/>
      <c r="V558" s="40"/>
      <c r="W558" s="40"/>
      <c r="X558" s="40"/>
      <c r="Y558" s="40"/>
      <c r="Z558" s="40"/>
      <c r="AA558" s="40"/>
      <c r="AB558" s="40"/>
      <c r="AC558" s="40"/>
      <c r="AD558" s="40"/>
      <c r="AE558" s="40"/>
      <c r="AF558" s="40"/>
      <c r="AG558" s="40"/>
      <c r="AH558" s="40"/>
      <c r="AI558" s="40"/>
      <c r="AJ558" s="40"/>
      <c r="AK558" s="40"/>
      <c r="AL558" s="40"/>
      <c r="AM558" s="40"/>
      <c r="AN558" s="40"/>
      <c r="AO558" s="40"/>
      <c r="AP558" s="40"/>
    </row>
    <row r="559" spans="2:42" x14ac:dyDescent="0.2">
      <c r="B559" s="40"/>
      <c r="C559" s="40"/>
      <c r="D559" s="40"/>
      <c r="E559" s="40"/>
      <c r="F559" s="40"/>
      <c r="G559" s="40"/>
      <c r="H559" s="40"/>
      <c r="I559" s="40"/>
      <c r="J559" s="40"/>
      <c r="K559" s="40"/>
      <c r="L559" s="40"/>
      <c r="M559" s="40"/>
      <c r="N559" s="40"/>
      <c r="O559" s="40"/>
      <c r="P559" s="40"/>
      <c r="Q559" s="40"/>
      <c r="R559" s="40"/>
      <c r="S559" s="40"/>
      <c r="T559" s="40"/>
      <c r="U559" s="40"/>
      <c r="V559" s="40"/>
      <c r="W559" s="40"/>
      <c r="X559" s="40"/>
      <c r="Y559" s="40"/>
      <c r="Z559" s="40"/>
      <c r="AA559" s="40"/>
      <c r="AB559" s="40"/>
      <c r="AC559" s="40"/>
      <c r="AD559" s="40"/>
      <c r="AE559" s="40"/>
      <c r="AF559" s="40"/>
      <c r="AG559" s="40"/>
      <c r="AH559" s="40"/>
      <c r="AI559" s="40"/>
      <c r="AJ559" s="40"/>
      <c r="AK559" s="40"/>
      <c r="AL559" s="40"/>
      <c r="AM559" s="40"/>
      <c r="AN559" s="40"/>
      <c r="AO559" s="40"/>
      <c r="AP559" s="40"/>
    </row>
    <row r="560" spans="2:42" x14ac:dyDescent="0.2">
      <c r="B560" s="40"/>
      <c r="C560" s="40"/>
      <c r="D560" s="40"/>
      <c r="E560" s="40"/>
      <c r="F560" s="40"/>
      <c r="G560" s="40"/>
      <c r="H560" s="40"/>
      <c r="I560" s="40"/>
      <c r="J560" s="40"/>
      <c r="K560" s="40"/>
      <c r="L560" s="40"/>
      <c r="M560" s="40"/>
      <c r="N560" s="40"/>
      <c r="O560" s="40"/>
      <c r="P560" s="40"/>
      <c r="Q560" s="40"/>
      <c r="R560" s="40"/>
      <c r="S560" s="40"/>
      <c r="T560" s="40"/>
      <c r="U560" s="40"/>
      <c r="V560" s="40"/>
      <c r="W560" s="40"/>
      <c r="X560" s="40"/>
      <c r="Y560" s="40"/>
      <c r="Z560" s="40"/>
      <c r="AA560" s="40"/>
      <c r="AB560" s="40"/>
      <c r="AC560" s="40"/>
      <c r="AD560" s="40"/>
      <c r="AE560" s="40"/>
      <c r="AF560" s="40"/>
      <c r="AG560" s="40"/>
      <c r="AH560" s="40"/>
      <c r="AI560" s="40"/>
      <c r="AJ560" s="40"/>
      <c r="AK560" s="40"/>
      <c r="AL560" s="40"/>
      <c r="AM560" s="40"/>
      <c r="AN560" s="40"/>
      <c r="AO560" s="40"/>
      <c r="AP560" s="40"/>
    </row>
    <row r="561" spans="2:42" x14ac:dyDescent="0.2">
      <c r="B561" s="40"/>
      <c r="C561" s="40"/>
      <c r="D561" s="40"/>
      <c r="E561" s="40"/>
      <c r="F561" s="40"/>
      <c r="G561" s="40"/>
      <c r="H561" s="40"/>
      <c r="I561" s="40"/>
      <c r="J561" s="40"/>
      <c r="K561" s="40"/>
      <c r="L561" s="40"/>
      <c r="M561" s="40"/>
      <c r="N561" s="40"/>
      <c r="O561" s="40"/>
      <c r="P561" s="40"/>
      <c r="Q561" s="40"/>
      <c r="R561" s="40"/>
      <c r="S561" s="40"/>
      <c r="T561" s="40"/>
      <c r="U561" s="40"/>
      <c r="V561" s="40"/>
      <c r="W561" s="40"/>
      <c r="X561" s="40"/>
      <c r="Y561" s="40"/>
      <c r="Z561" s="40"/>
      <c r="AA561" s="40"/>
      <c r="AB561" s="40"/>
      <c r="AC561" s="40"/>
      <c r="AD561" s="40"/>
      <c r="AE561" s="40"/>
      <c r="AF561" s="40"/>
      <c r="AG561" s="40"/>
      <c r="AH561" s="40"/>
      <c r="AI561" s="40"/>
      <c r="AJ561" s="40"/>
      <c r="AK561" s="40"/>
      <c r="AL561" s="40"/>
      <c r="AM561" s="40"/>
      <c r="AN561" s="40"/>
      <c r="AO561" s="40"/>
      <c r="AP561" s="40"/>
    </row>
    <row r="562" spans="2:42" x14ac:dyDescent="0.2">
      <c r="B562" s="40"/>
      <c r="C562" s="40"/>
      <c r="D562" s="40"/>
      <c r="E562" s="40"/>
      <c r="F562" s="40"/>
      <c r="G562" s="40"/>
      <c r="H562" s="40"/>
      <c r="I562" s="40"/>
      <c r="J562" s="40"/>
      <c r="K562" s="40"/>
      <c r="L562" s="40"/>
      <c r="M562" s="40"/>
      <c r="N562" s="40"/>
      <c r="O562" s="40"/>
      <c r="P562" s="40"/>
      <c r="Q562" s="40"/>
      <c r="R562" s="40"/>
      <c r="S562" s="40"/>
      <c r="T562" s="40"/>
      <c r="U562" s="40"/>
      <c r="V562" s="40"/>
      <c r="W562" s="40"/>
      <c r="X562" s="40"/>
      <c r="Y562" s="40"/>
      <c r="Z562" s="40"/>
      <c r="AA562" s="40"/>
      <c r="AB562" s="40"/>
      <c r="AC562" s="40"/>
      <c r="AD562" s="40"/>
      <c r="AE562" s="40"/>
      <c r="AF562" s="40"/>
      <c r="AG562" s="40"/>
      <c r="AH562" s="40"/>
      <c r="AI562" s="40"/>
      <c r="AJ562" s="40"/>
      <c r="AK562" s="40"/>
      <c r="AL562" s="40"/>
      <c r="AM562" s="40"/>
      <c r="AN562" s="40"/>
      <c r="AO562" s="40"/>
      <c r="AP562" s="40"/>
    </row>
    <row r="563" spans="2:42" x14ac:dyDescent="0.2">
      <c r="B563" s="40"/>
      <c r="C563" s="40"/>
      <c r="D563" s="40"/>
      <c r="E563" s="40"/>
      <c r="F563" s="40"/>
      <c r="G563" s="40"/>
      <c r="H563" s="40"/>
      <c r="I563" s="40"/>
      <c r="J563" s="40"/>
      <c r="K563" s="40"/>
      <c r="L563" s="40"/>
      <c r="M563" s="40"/>
      <c r="N563" s="40"/>
      <c r="O563" s="40"/>
      <c r="P563" s="40"/>
      <c r="Q563" s="40"/>
      <c r="R563" s="40"/>
      <c r="S563" s="40"/>
      <c r="T563" s="40"/>
      <c r="U563" s="40"/>
      <c r="V563" s="40"/>
      <c r="W563" s="40"/>
      <c r="X563" s="40"/>
      <c r="Y563" s="40"/>
      <c r="Z563" s="40"/>
      <c r="AA563" s="40"/>
      <c r="AB563" s="40"/>
      <c r="AC563" s="40"/>
      <c r="AD563" s="40"/>
      <c r="AE563" s="40"/>
      <c r="AF563" s="40"/>
      <c r="AG563" s="40"/>
      <c r="AH563" s="40"/>
      <c r="AI563" s="40"/>
      <c r="AJ563" s="40"/>
      <c r="AK563" s="40"/>
      <c r="AL563" s="40"/>
      <c r="AM563" s="40"/>
      <c r="AN563" s="40"/>
      <c r="AO563" s="40"/>
      <c r="AP563" s="40"/>
    </row>
    <row r="564" spans="2:42" x14ac:dyDescent="0.2">
      <c r="B564" s="40"/>
      <c r="C564" s="40"/>
      <c r="D564" s="40"/>
      <c r="E564" s="40"/>
      <c r="F564" s="40"/>
      <c r="G564" s="40"/>
      <c r="H564" s="40"/>
      <c r="I564" s="40"/>
      <c r="J564" s="40"/>
      <c r="K564" s="40"/>
      <c r="L564" s="40"/>
      <c r="M564" s="40"/>
      <c r="N564" s="40"/>
      <c r="O564" s="40"/>
      <c r="P564" s="40"/>
      <c r="Q564" s="40"/>
      <c r="R564" s="40"/>
      <c r="S564" s="40"/>
      <c r="T564" s="40"/>
      <c r="U564" s="40"/>
      <c r="V564" s="40"/>
      <c r="W564" s="40"/>
      <c r="X564" s="40"/>
      <c r="Y564" s="40"/>
      <c r="Z564" s="40"/>
      <c r="AA564" s="40"/>
      <c r="AB564" s="40"/>
      <c r="AC564" s="40"/>
      <c r="AD564" s="40"/>
      <c r="AE564" s="40"/>
      <c r="AF564" s="40"/>
      <c r="AG564" s="40"/>
      <c r="AH564" s="40"/>
      <c r="AI564" s="40"/>
      <c r="AJ564" s="40"/>
      <c r="AK564" s="40"/>
      <c r="AL564" s="40"/>
      <c r="AM564" s="40"/>
      <c r="AN564" s="40"/>
      <c r="AO564" s="40"/>
      <c r="AP564" s="40"/>
    </row>
    <row r="565" spans="2:42" x14ac:dyDescent="0.2">
      <c r="B565" s="40"/>
      <c r="C565" s="40"/>
      <c r="D565" s="40"/>
      <c r="E565" s="40"/>
      <c r="F565" s="40"/>
      <c r="G565" s="40"/>
      <c r="H565" s="40"/>
      <c r="I565" s="40"/>
      <c r="J565" s="40"/>
      <c r="K565" s="40"/>
      <c r="L565" s="40"/>
      <c r="M565" s="40"/>
      <c r="N565" s="40"/>
      <c r="O565" s="40"/>
      <c r="P565" s="40"/>
      <c r="Q565" s="40"/>
      <c r="R565" s="40"/>
      <c r="S565" s="40"/>
      <c r="T565" s="40"/>
      <c r="U565" s="40"/>
      <c r="V565" s="40"/>
      <c r="W565" s="40"/>
      <c r="X565" s="40"/>
      <c r="Y565" s="40"/>
      <c r="Z565" s="40"/>
      <c r="AA565" s="40"/>
      <c r="AB565" s="40"/>
      <c r="AC565" s="40"/>
      <c r="AD565" s="40"/>
      <c r="AE565" s="40"/>
      <c r="AF565" s="40"/>
      <c r="AG565" s="40"/>
      <c r="AH565" s="40"/>
      <c r="AI565" s="40"/>
      <c r="AJ565" s="40"/>
      <c r="AK565" s="40"/>
      <c r="AL565" s="40"/>
      <c r="AM565" s="40"/>
      <c r="AN565" s="40"/>
      <c r="AO565" s="40"/>
      <c r="AP565" s="40"/>
    </row>
    <row r="566" spans="2:42" x14ac:dyDescent="0.2">
      <c r="B566" s="40"/>
      <c r="C566" s="40"/>
      <c r="D566" s="40"/>
      <c r="E566" s="40"/>
      <c r="F566" s="40"/>
      <c r="G566" s="40"/>
      <c r="H566" s="40"/>
      <c r="I566" s="40"/>
      <c r="J566" s="40"/>
      <c r="K566" s="40"/>
      <c r="L566" s="40"/>
      <c r="M566" s="40"/>
      <c r="N566" s="40"/>
      <c r="O566" s="40"/>
      <c r="P566" s="40"/>
      <c r="Q566" s="40"/>
      <c r="R566" s="40"/>
      <c r="S566" s="40"/>
      <c r="T566" s="40"/>
      <c r="U566" s="40"/>
      <c r="V566" s="40"/>
      <c r="W566" s="40"/>
      <c r="X566" s="40"/>
      <c r="Y566" s="40"/>
      <c r="Z566" s="40"/>
      <c r="AA566" s="40"/>
      <c r="AB566" s="40"/>
      <c r="AC566" s="40"/>
      <c r="AD566" s="40"/>
      <c r="AE566" s="40"/>
      <c r="AF566" s="40"/>
      <c r="AG566" s="40"/>
      <c r="AH566" s="40"/>
      <c r="AI566" s="40"/>
      <c r="AJ566" s="40"/>
      <c r="AK566" s="40"/>
      <c r="AL566" s="40"/>
      <c r="AM566" s="40"/>
      <c r="AN566" s="40"/>
      <c r="AO566" s="40"/>
      <c r="AP566" s="40"/>
    </row>
    <row r="567" spans="2:42" x14ac:dyDescent="0.2">
      <c r="B567" s="40"/>
      <c r="C567" s="40"/>
      <c r="D567" s="40"/>
      <c r="E567" s="40"/>
      <c r="F567" s="40"/>
      <c r="G567" s="40"/>
      <c r="H567" s="40"/>
      <c r="I567" s="40"/>
      <c r="J567" s="40"/>
      <c r="K567" s="40"/>
      <c r="L567" s="40"/>
      <c r="M567" s="40"/>
      <c r="N567" s="40"/>
      <c r="O567" s="40"/>
      <c r="P567" s="40"/>
      <c r="Q567" s="40"/>
      <c r="R567" s="40"/>
      <c r="S567" s="40"/>
      <c r="T567" s="40"/>
      <c r="U567" s="40"/>
      <c r="V567" s="40"/>
      <c r="W567" s="40"/>
      <c r="X567" s="40"/>
      <c r="Y567" s="40"/>
      <c r="Z567" s="40"/>
      <c r="AA567" s="40"/>
      <c r="AB567" s="40"/>
      <c r="AC567" s="40"/>
      <c r="AD567" s="40"/>
      <c r="AE567" s="40"/>
      <c r="AF567" s="40"/>
      <c r="AG567" s="40"/>
      <c r="AH567" s="40"/>
      <c r="AI567" s="40"/>
      <c r="AJ567" s="40"/>
      <c r="AK567" s="40"/>
      <c r="AL567" s="40"/>
      <c r="AM567" s="40"/>
      <c r="AN567" s="40"/>
      <c r="AO567" s="40"/>
      <c r="AP567" s="40"/>
    </row>
    <row r="568" spans="2:42" x14ac:dyDescent="0.2">
      <c r="B568" s="40"/>
      <c r="C568" s="40"/>
      <c r="D568" s="40"/>
      <c r="E568" s="40"/>
      <c r="F568" s="40"/>
      <c r="G568" s="40"/>
      <c r="H568" s="40"/>
      <c r="I568" s="40"/>
      <c r="J568" s="40"/>
      <c r="K568" s="40"/>
      <c r="L568" s="40"/>
      <c r="M568" s="40"/>
      <c r="N568" s="40"/>
      <c r="O568" s="40"/>
      <c r="P568" s="40"/>
      <c r="Q568" s="40"/>
      <c r="R568" s="40"/>
      <c r="S568" s="40"/>
      <c r="T568" s="40"/>
      <c r="U568" s="40"/>
      <c r="V568" s="40"/>
      <c r="W568" s="40"/>
      <c r="X568" s="40"/>
      <c r="Y568" s="40"/>
      <c r="Z568" s="40"/>
      <c r="AA568" s="40"/>
      <c r="AB568" s="40"/>
      <c r="AC568" s="40"/>
      <c r="AD568" s="40"/>
      <c r="AE568" s="40"/>
      <c r="AF568" s="40"/>
      <c r="AG568" s="40"/>
      <c r="AH568" s="40"/>
      <c r="AI568" s="40"/>
      <c r="AJ568" s="40"/>
      <c r="AK568" s="40"/>
      <c r="AL568" s="40"/>
      <c r="AM568" s="40"/>
      <c r="AN568" s="40"/>
      <c r="AO568" s="40"/>
      <c r="AP568" s="40"/>
    </row>
    <row r="569" spans="2:42" x14ac:dyDescent="0.2">
      <c r="B569" s="40"/>
      <c r="C569" s="40"/>
      <c r="D569" s="40"/>
      <c r="E569" s="40"/>
      <c r="F569" s="40"/>
      <c r="G569" s="40"/>
      <c r="H569" s="40"/>
      <c r="I569" s="40"/>
      <c r="J569" s="40"/>
      <c r="K569" s="40"/>
      <c r="L569" s="40"/>
      <c r="M569" s="40"/>
      <c r="N569" s="40"/>
      <c r="O569" s="40"/>
      <c r="P569" s="40"/>
      <c r="Q569" s="40"/>
      <c r="R569" s="40"/>
      <c r="S569" s="40"/>
      <c r="T569" s="40"/>
      <c r="U569" s="40"/>
      <c r="V569" s="40"/>
      <c r="W569" s="40"/>
      <c r="X569" s="40"/>
      <c r="Y569" s="40"/>
      <c r="Z569" s="40"/>
      <c r="AA569" s="40"/>
      <c r="AB569" s="40"/>
      <c r="AC569" s="40"/>
      <c r="AD569" s="40"/>
      <c r="AE569" s="40"/>
      <c r="AF569" s="40"/>
      <c r="AG569" s="40"/>
      <c r="AH569" s="40"/>
      <c r="AI569" s="40"/>
      <c r="AJ569" s="40"/>
      <c r="AK569" s="40"/>
      <c r="AL569" s="40"/>
      <c r="AM569" s="40"/>
      <c r="AN569" s="40"/>
      <c r="AO569" s="40"/>
      <c r="AP569" s="40"/>
    </row>
    <row r="570" spans="2:42" x14ac:dyDescent="0.2">
      <c r="B570" s="40"/>
      <c r="C570" s="40"/>
      <c r="D570" s="40"/>
      <c r="E570" s="40"/>
      <c r="F570" s="40"/>
      <c r="G570" s="40"/>
      <c r="H570" s="40"/>
      <c r="I570" s="40"/>
      <c r="J570" s="40"/>
      <c r="K570" s="40"/>
      <c r="L570" s="40"/>
      <c r="M570" s="40"/>
      <c r="N570" s="40"/>
      <c r="O570" s="40"/>
      <c r="P570" s="40"/>
      <c r="Q570" s="40"/>
      <c r="R570" s="40"/>
      <c r="S570" s="40"/>
      <c r="T570" s="40"/>
      <c r="U570" s="40"/>
      <c r="V570" s="40"/>
      <c r="W570" s="40"/>
      <c r="X570" s="40"/>
      <c r="Y570" s="40"/>
      <c r="Z570" s="40"/>
      <c r="AA570" s="40"/>
      <c r="AB570" s="40"/>
      <c r="AC570" s="40"/>
      <c r="AD570" s="40"/>
      <c r="AE570" s="40"/>
      <c r="AF570" s="40"/>
      <c r="AG570" s="40"/>
      <c r="AH570" s="40"/>
      <c r="AI570" s="40"/>
      <c r="AJ570" s="40"/>
      <c r="AK570" s="40"/>
      <c r="AL570" s="40"/>
      <c r="AM570" s="40"/>
      <c r="AN570" s="40"/>
      <c r="AO570" s="40"/>
      <c r="AP570" s="40"/>
    </row>
    <row r="571" spans="2:42" x14ac:dyDescent="0.2">
      <c r="B571" s="40"/>
      <c r="C571" s="40"/>
      <c r="D571" s="40"/>
      <c r="E571" s="40"/>
      <c r="F571" s="40"/>
      <c r="G571" s="40"/>
      <c r="H571" s="40"/>
      <c r="I571" s="40"/>
      <c r="J571" s="40"/>
      <c r="K571" s="40"/>
      <c r="L571" s="40"/>
      <c r="M571" s="40"/>
      <c r="N571" s="40"/>
      <c r="O571" s="40"/>
      <c r="P571" s="40"/>
      <c r="Q571" s="40"/>
      <c r="R571" s="40"/>
      <c r="S571" s="40"/>
      <c r="T571" s="40"/>
      <c r="U571" s="40"/>
      <c r="V571" s="40"/>
      <c r="W571" s="40"/>
      <c r="X571" s="40"/>
      <c r="Y571" s="40"/>
      <c r="Z571" s="40"/>
      <c r="AA571" s="40"/>
      <c r="AB571" s="40"/>
      <c r="AC571" s="40"/>
      <c r="AD571" s="40"/>
      <c r="AE571" s="40"/>
      <c r="AF571" s="40"/>
      <c r="AG571" s="40"/>
      <c r="AH571" s="40"/>
      <c r="AI571" s="40"/>
      <c r="AJ571" s="40"/>
      <c r="AK571" s="40"/>
      <c r="AL571" s="40"/>
      <c r="AM571" s="40"/>
      <c r="AN571" s="40"/>
      <c r="AO571" s="40"/>
      <c r="AP571" s="40"/>
    </row>
    <row r="572" spans="2:42" x14ac:dyDescent="0.2">
      <c r="B572" s="40"/>
      <c r="C572" s="40"/>
      <c r="D572" s="40"/>
      <c r="E572" s="40"/>
      <c r="F572" s="40"/>
      <c r="G572" s="40"/>
      <c r="H572" s="40"/>
      <c r="I572" s="40"/>
      <c r="J572" s="40"/>
      <c r="K572" s="40"/>
      <c r="L572" s="40"/>
      <c r="M572" s="40"/>
      <c r="N572" s="40"/>
      <c r="O572" s="40"/>
      <c r="P572" s="40"/>
      <c r="Q572" s="40"/>
      <c r="R572" s="40"/>
      <c r="S572" s="40"/>
      <c r="T572" s="40"/>
      <c r="U572" s="40"/>
      <c r="V572" s="40"/>
      <c r="W572" s="40"/>
      <c r="X572" s="40"/>
      <c r="Y572" s="40"/>
      <c r="Z572" s="40"/>
      <c r="AA572" s="40"/>
      <c r="AB572" s="40"/>
      <c r="AC572" s="40"/>
      <c r="AD572" s="40"/>
      <c r="AE572" s="40"/>
      <c r="AF572" s="40"/>
      <c r="AG572" s="40"/>
      <c r="AH572" s="40"/>
      <c r="AI572" s="40"/>
      <c r="AJ572" s="40"/>
      <c r="AK572" s="40"/>
      <c r="AL572" s="40"/>
      <c r="AM572" s="40"/>
      <c r="AN572" s="40"/>
      <c r="AO572" s="40"/>
      <c r="AP572" s="40"/>
    </row>
    <row r="573" spans="2:42" x14ac:dyDescent="0.2">
      <c r="B573" s="40"/>
      <c r="C573" s="40"/>
      <c r="D573" s="40"/>
      <c r="E573" s="40"/>
      <c r="F573" s="40"/>
      <c r="G573" s="40"/>
      <c r="H573" s="40"/>
      <c r="I573" s="40"/>
      <c r="J573" s="40"/>
      <c r="K573" s="40"/>
      <c r="L573" s="40"/>
      <c r="M573" s="40"/>
      <c r="N573" s="40"/>
      <c r="O573" s="40"/>
      <c r="P573" s="40"/>
      <c r="Q573" s="40"/>
      <c r="R573" s="40"/>
      <c r="S573" s="40"/>
      <c r="T573" s="40"/>
      <c r="U573" s="40"/>
      <c r="V573" s="40"/>
      <c r="W573" s="40"/>
      <c r="X573" s="40"/>
      <c r="Y573" s="40"/>
      <c r="Z573" s="40"/>
      <c r="AA573" s="40"/>
      <c r="AB573" s="40"/>
      <c r="AC573" s="40"/>
      <c r="AD573" s="40"/>
      <c r="AE573" s="40"/>
      <c r="AF573" s="40"/>
      <c r="AG573" s="40"/>
      <c r="AH573" s="40"/>
      <c r="AI573" s="40"/>
      <c r="AJ573" s="40"/>
      <c r="AK573" s="40"/>
      <c r="AL573" s="40"/>
      <c r="AM573" s="40"/>
      <c r="AN573" s="40"/>
      <c r="AO573" s="40"/>
      <c r="AP573" s="40"/>
    </row>
    <row r="574" spans="2:42" x14ac:dyDescent="0.2">
      <c r="B574" s="40"/>
      <c r="C574" s="40"/>
      <c r="D574" s="40"/>
      <c r="E574" s="40"/>
      <c r="F574" s="40"/>
      <c r="G574" s="40"/>
      <c r="H574" s="40"/>
      <c r="I574" s="40"/>
      <c r="J574" s="40"/>
      <c r="K574" s="40"/>
      <c r="L574" s="40"/>
      <c r="M574" s="40"/>
      <c r="N574" s="40"/>
      <c r="O574" s="40"/>
      <c r="P574" s="40"/>
      <c r="Q574" s="40"/>
      <c r="R574" s="40"/>
      <c r="S574" s="40"/>
      <c r="T574" s="40"/>
      <c r="U574" s="40"/>
      <c r="V574" s="40"/>
      <c r="W574" s="40"/>
      <c r="X574" s="40"/>
      <c r="Y574" s="40"/>
      <c r="Z574" s="40"/>
      <c r="AA574" s="40"/>
      <c r="AB574" s="40"/>
      <c r="AC574" s="40"/>
      <c r="AD574" s="40"/>
      <c r="AE574" s="40"/>
      <c r="AF574" s="40"/>
      <c r="AG574" s="40"/>
      <c r="AH574" s="40"/>
      <c r="AI574" s="40"/>
      <c r="AJ574" s="40"/>
      <c r="AK574" s="40"/>
      <c r="AL574" s="40"/>
      <c r="AM574" s="40"/>
      <c r="AN574" s="40"/>
      <c r="AO574" s="40"/>
      <c r="AP574" s="40"/>
    </row>
    <row r="575" spans="2:42" x14ac:dyDescent="0.2">
      <c r="B575" s="40"/>
      <c r="C575" s="40"/>
      <c r="D575" s="40"/>
      <c r="E575" s="40"/>
      <c r="F575" s="40"/>
      <c r="G575" s="40"/>
      <c r="H575" s="40"/>
      <c r="I575" s="40"/>
      <c r="J575" s="40"/>
      <c r="K575" s="40"/>
      <c r="L575" s="40"/>
      <c r="M575" s="40"/>
      <c r="N575" s="40"/>
      <c r="O575" s="40"/>
      <c r="P575" s="40"/>
      <c r="Q575" s="40"/>
      <c r="R575" s="40"/>
      <c r="S575" s="40"/>
      <c r="T575" s="40"/>
      <c r="U575" s="40"/>
      <c r="V575" s="40"/>
      <c r="W575" s="40"/>
      <c r="X575" s="40"/>
      <c r="Y575" s="40"/>
      <c r="Z575" s="40"/>
      <c r="AA575" s="40"/>
      <c r="AB575" s="40"/>
      <c r="AC575" s="40"/>
      <c r="AD575" s="40"/>
      <c r="AE575" s="40"/>
      <c r="AF575" s="40"/>
      <c r="AG575" s="40"/>
      <c r="AH575" s="40"/>
      <c r="AI575" s="40"/>
      <c r="AJ575" s="40"/>
      <c r="AK575" s="40"/>
      <c r="AL575" s="40"/>
      <c r="AM575" s="40"/>
      <c r="AN575" s="40"/>
      <c r="AO575" s="40"/>
      <c r="AP575" s="40"/>
    </row>
    <row r="576" spans="2:42" x14ac:dyDescent="0.2">
      <c r="B576" s="40"/>
      <c r="C576" s="40"/>
      <c r="D576" s="40"/>
      <c r="E576" s="40"/>
      <c r="F576" s="40"/>
      <c r="G576" s="40"/>
      <c r="H576" s="40"/>
      <c r="I576" s="40"/>
      <c r="J576" s="40"/>
      <c r="K576" s="40"/>
      <c r="L576" s="40"/>
      <c r="M576" s="40"/>
      <c r="N576" s="40"/>
      <c r="O576" s="40"/>
      <c r="P576" s="40"/>
      <c r="Q576" s="40"/>
      <c r="R576" s="40"/>
      <c r="S576" s="40"/>
      <c r="T576" s="40"/>
      <c r="U576" s="40"/>
      <c r="V576" s="40"/>
      <c r="W576" s="40"/>
      <c r="X576" s="40"/>
      <c r="Y576" s="40"/>
      <c r="Z576" s="40"/>
      <c r="AA576" s="40"/>
      <c r="AB576" s="40"/>
      <c r="AC576" s="40"/>
      <c r="AD576" s="40"/>
      <c r="AE576" s="40"/>
      <c r="AF576" s="40"/>
      <c r="AG576" s="40"/>
      <c r="AH576" s="40"/>
      <c r="AI576" s="40"/>
      <c r="AJ576" s="40"/>
      <c r="AK576" s="40"/>
      <c r="AL576" s="40"/>
      <c r="AM576" s="40"/>
      <c r="AN576" s="40"/>
      <c r="AO576" s="40"/>
      <c r="AP576" s="40"/>
    </row>
    <row r="577" spans="2:42" x14ac:dyDescent="0.2">
      <c r="B577" s="40"/>
      <c r="C577" s="40"/>
      <c r="D577" s="40"/>
      <c r="E577" s="40"/>
      <c r="F577" s="40"/>
      <c r="G577" s="40"/>
      <c r="H577" s="40"/>
      <c r="I577" s="40"/>
      <c r="J577" s="40"/>
      <c r="K577" s="40"/>
      <c r="L577" s="40"/>
      <c r="M577" s="40"/>
      <c r="N577" s="40"/>
      <c r="O577" s="40"/>
      <c r="P577" s="40"/>
      <c r="Q577" s="40"/>
      <c r="R577" s="40"/>
      <c r="S577" s="40"/>
      <c r="T577" s="40"/>
      <c r="U577" s="40"/>
      <c r="V577" s="40"/>
      <c r="W577" s="40"/>
      <c r="X577" s="40"/>
      <c r="Y577" s="40"/>
      <c r="Z577" s="40"/>
      <c r="AA577" s="40"/>
      <c r="AB577" s="40"/>
      <c r="AC577" s="40"/>
      <c r="AD577" s="40"/>
      <c r="AE577" s="40"/>
      <c r="AF577" s="40"/>
      <c r="AG577" s="40"/>
      <c r="AH577" s="40"/>
      <c r="AI577" s="40"/>
      <c r="AJ577" s="40"/>
      <c r="AK577" s="40"/>
      <c r="AL577" s="40"/>
      <c r="AM577" s="40"/>
      <c r="AN577" s="40"/>
      <c r="AO577" s="40"/>
      <c r="AP577" s="40"/>
    </row>
    <row r="578" spans="2:42" x14ac:dyDescent="0.2">
      <c r="B578" s="40"/>
      <c r="C578" s="40"/>
      <c r="D578" s="40"/>
      <c r="E578" s="40"/>
      <c r="F578" s="40"/>
      <c r="G578" s="40"/>
      <c r="H578" s="40"/>
      <c r="I578" s="40"/>
      <c r="J578" s="40"/>
      <c r="K578" s="40"/>
      <c r="L578" s="40"/>
      <c r="M578" s="40"/>
      <c r="N578" s="40"/>
      <c r="O578" s="40"/>
      <c r="P578" s="40"/>
      <c r="Q578" s="40"/>
      <c r="R578" s="40"/>
      <c r="S578" s="40"/>
      <c r="T578" s="40"/>
      <c r="U578" s="40"/>
      <c r="V578" s="40"/>
      <c r="W578" s="40"/>
      <c r="X578" s="40"/>
      <c r="Y578" s="40"/>
      <c r="Z578" s="40"/>
      <c r="AA578" s="40"/>
      <c r="AB578" s="40"/>
      <c r="AC578" s="40"/>
      <c r="AD578" s="40"/>
      <c r="AE578" s="40"/>
      <c r="AF578" s="40"/>
      <c r="AG578" s="40"/>
      <c r="AH578" s="40"/>
      <c r="AI578" s="40"/>
      <c r="AJ578" s="40"/>
      <c r="AK578" s="40"/>
      <c r="AL578" s="40"/>
      <c r="AM578" s="40"/>
      <c r="AN578" s="40"/>
      <c r="AO578" s="40"/>
      <c r="AP578" s="40"/>
    </row>
    <row r="579" spans="2:42" x14ac:dyDescent="0.2">
      <c r="B579" s="40"/>
      <c r="C579" s="40"/>
      <c r="D579" s="40"/>
      <c r="E579" s="40"/>
      <c r="F579" s="40"/>
      <c r="G579" s="40"/>
      <c r="H579" s="40"/>
      <c r="I579" s="40"/>
      <c r="J579" s="40"/>
      <c r="K579" s="40"/>
      <c r="L579" s="40"/>
      <c r="M579" s="40"/>
      <c r="N579" s="40"/>
      <c r="O579" s="40"/>
      <c r="P579" s="40"/>
      <c r="Q579" s="40"/>
      <c r="R579" s="40"/>
      <c r="S579" s="40"/>
      <c r="T579" s="40"/>
      <c r="U579" s="40"/>
      <c r="V579" s="40"/>
      <c r="W579" s="40"/>
      <c r="X579" s="40"/>
      <c r="Y579" s="40"/>
      <c r="Z579" s="40"/>
      <c r="AA579" s="40"/>
      <c r="AB579" s="40"/>
      <c r="AC579" s="40"/>
      <c r="AD579" s="40"/>
      <c r="AE579" s="40"/>
      <c r="AF579" s="40"/>
      <c r="AG579" s="40"/>
      <c r="AH579" s="40"/>
      <c r="AI579" s="40"/>
      <c r="AJ579" s="40"/>
      <c r="AK579" s="40"/>
      <c r="AL579" s="40"/>
      <c r="AM579" s="40"/>
      <c r="AN579" s="40"/>
      <c r="AO579" s="40"/>
      <c r="AP579" s="40"/>
    </row>
    <row r="580" spans="2:42" x14ac:dyDescent="0.2">
      <c r="B580" s="40"/>
      <c r="C580" s="40"/>
      <c r="D580" s="40"/>
      <c r="E580" s="40"/>
      <c r="F580" s="40"/>
      <c r="G580" s="40"/>
      <c r="H580" s="40"/>
      <c r="I580" s="40"/>
      <c r="J580" s="40"/>
      <c r="K580" s="40"/>
      <c r="L580" s="40"/>
      <c r="M580" s="40"/>
      <c r="N580" s="40"/>
      <c r="O580" s="40"/>
      <c r="P580" s="40"/>
      <c r="Q580" s="40"/>
      <c r="R580" s="40"/>
      <c r="S580" s="40"/>
      <c r="T580" s="40"/>
      <c r="U580" s="40"/>
      <c r="V580" s="40"/>
      <c r="W580" s="40"/>
      <c r="X580" s="40"/>
      <c r="Y580" s="40"/>
      <c r="Z580" s="40"/>
      <c r="AA580" s="40"/>
      <c r="AB580" s="40"/>
      <c r="AC580" s="40"/>
      <c r="AD580" s="40"/>
      <c r="AE580" s="40"/>
      <c r="AF580" s="40"/>
      <c r="AG580" s="40"/>
      <c r="AH580" s="40"/>
      <c r="AI580" s="40"/>
      <c r="AJ580" s="40"/>
      <c r="AK580" s="40"/>
      <c r="AL580" s="40"/>
      <c r="AM580" s="40"/>
      <c r="AN580" s="40"/>
      <c r="AO580" s="40"/>
      <c r="AP580" s="40"/>
    </row>
    <row r="581" spans="2:42" x14ac:dyDescent="0.2">
      <c r="B581" s="40"/>
      <c r="C581" s="40"/>
      <c r="D581" s="40"/>
      <c r="E581" s="40"/>
      <c r="F581" s="40"/>
      <c r="G581" s="40"/>
      <c r="H581" s="40"/>
      <c r="I581" s="40"/>
      <c r="J581" s="40"/>
      <c r="K581" s="40"/>
      <c r="L581" s="40"/>
      <c r="M581" s="40"/>
      <c r="N581" s="40"/>
      <c r="O581" s="40"/>
      <c r="P581" s="40"/>
      <c r="Q581" s="40"/>
      <c r="R581" s="40"/>
      <c r="S581" s="40"/>
      <c r="T581" s="40"/>
      <c r="U581" s="40"/>
      <c r="V581" s="40"/>
      <c r="W581" s="40"/>
      <c r="X581" s="40"/>
      <c r="Y581" s="40"/>
      <c r="Z581" s="40"/>
      <c r="AA581" s="40"/>
      <c r="AB581" s="40"/>
      <c r="AC581" s="40"/>
      <c r="AD581" s="40"/>
      <c r="AE581" s="40"/>
      <c r="AF581" s="40"/>
      <c r="AG581" s="40"/>
      <c r="AH581" s="40"/>
      <c r="AI581" s="40"/>
      <c r="AJ581" s="40"/>
      <c r="AK581" s="40"/>
      <c r="AL581" s="40"/>
      <c r="AM581" s="40"/>
      <c r="AN581" s="40"/>
      <c r="AO581" s="40"/>
      <c r="AP581" s="40"/>
    </row>
    <row r="582" spans="2:42" x14ac:dyDescent="0.2">
      <c r="B582" s="40"/>
      <c r="C582" s="40"/>
      <c r="D582" s="40"/>
      <c r="E582" s="40"/>
      <c r="F582" s="40"/>
      <c r="G582" s="40"/>
      <c r="H582" s="40"/>
      <c r="I582" s="40"/>
      <c r="J582" s="40"/>
      <c r="K582" s="40"/>
      <c r="L582" s="40"/>
      <c r="M582" s="40"/>
      <c r="N582" s="40"/>
      <c r="O582" s="40"/>
      <c r="P582" s="40"/>
      <c r="Q582" s="40"/>
      <c r="R582" s="40"/>
      <c r="S582" s="40"/>
      <c r="T582" s="40"/>
      <c r="U582" s="40"/>
      <c r="V582" s="40"/>
      <c r="W582" s="40"/>
      <c r="X582" s="40"/>
      <c r="Y582" s="40"/>
      <c r="Z582" s="40"/>
      <c r="AA582" s="40"/>
      <c r="AB582" s="40"/>
      <c r="AC582" s="40"/>
      <c r="AD582" s="40"/>
      <c r="AE582" s="40"/>
      <c r="AF582" s="40"/>
      <c r="AG582" s="40"/>
      <c r="AH582" s="40"/>
      <c r="AI582" s="40"/>
      <c r="AJ582" s="40"/>
      <c r="AK582" s="40"/>
      <c r="AL582" s="40"/>
      <c r="AM582" s="40"/>
      <c r="AN582" s="40"/>
      <c r="AO582" s="40"/>
      <c r="AP582" s="40"/>
    </row>
    <row r="583" spans="2:42" x14ac:dyDescent="0.2">
      <c r="B583" s="40"/>
      <c r="C583" s="40"/>
      <c r="D583" s="40"/>
      <c r="E583" s="40"/>
      <c r="F583" s="40"/>
      <c r="G583" s="40"/>
      <c r="H583" s="40"/>
      <c r="I583" s="40"/>
      <c r="J583" s="40"/>
      <c r="K583" s="40"/>
      <c r="L583" s="40"/>
      <c r="M583" s="40"/>
      <c r="N583" s="40"/>
      <c r="O583" s="40"/>
      <c r="P583" s="40"/>
      <c r="Q583" s="40"/>
      <c r="R583" s="40"/>
      <c r="S583" s="40"/>
      <c r="T583" s="40"/>
      <c r="U583" s="40"/>
      <c r="V583" s="40"/>
      <c r="W583" s="40"/>
      <c r="X583" s="40"/>
      <c r="Y583" s="40"/>
      <c r="Z583" s="40"/>
      <c r="AA583" s="40"/>
      <c r="AB583" s="40"/>
      <c r="AC583" s="40"/>
      <c r="AD583" s="40"/>
      <c r="AE583" s="40"/>
      <c r="AF583" s="40"/>
      <c r="AG583" s="40"/>
      <c r="AH583" s="40"/>
      <c r="AI583" s="40"/>
      <c r="AJ583" s="40"/>
      <c r="AK583" s="40"/>
      <c r="AL583" s="40"/>
      <c r="AM583" s="40"/>
      <c r="AN583" s="40"/>
      <c r="AO583" s="40"/>
      <c r="AP583" s="40"/>
    </row>
    <row r="584" spans="2:42" x14ac:dyDescent="0.2">
      <c r="B584" s="40"/>
      <c r="C584" s="40"/>
      <c r="D584" s="40"/>
      <c r="E584" s="40"/>
      <c r="F584" s="40"/>
      <c r="G584" s="40"/>
      <c r="H584" s="40"/>
      <c r="I584" s="40"/>
      <c r="J584" s="40"/>
      <c r="K584" s="40"/>
      <c r="L584" s="40"/>
      <c r="M584" s="40"/>
      <c r="N584" s="40"/>
      <c r="O584" s="40"/>
      <c r="P584" s="40"/>
      <c r="Q584" s="40"/>
      <c r="R584" s="40"/>
      <c r="S584" s="40"/>
      <c r="T584" s="40"/>
      <c r="U584" s="40"/>
      <c r="V584" s="40"/>
      <c r="W584" s="40"/>
      <c r="X584" s="40"/>
      <c r="Y584" s="40"/>
      <c r="Z584" s="40"/>
      <c r="AA584" s="40"/>
      <c r="AB584" s="40"/>
      <c r="AC584" s="40"/>
      <c r="AD584" s="40"/>
      <c r="AE584" s="40"/>
      <c r="AF584" s="40"/>
      <c r="AG584" s="40"/>
      <c r="AH584" s="40"/>
      <c r="AI584" s="40"/>
      <c r="AJ584" s="40"/>
      <c r="AK584" s="40"/>
      <c r="AL584" s="40"/>
      <c r="AM584" s="40"/>
      <c r="AN584" s="40"/>
      <c r="AO584" s="40"/>
      <c r="AP584" s="40"/>
    </row>
    <row r="585" spans="2:42" x14ac:dyDescent="0.2">
      <c r="B585" s="40"/>
      <c r="C585" s="40"/>
      <c r="D585" s="40"/>
      <c r="E585" s="40"/>
      <c r="F585" s="40"/>
      <c r="G585" s="40"/>
      <c r="H585" s="40"/>
      <c r="I585" s="40"/>
      <c r="J585" s="40"/>
      <c r="K585" s="40"/>
      <c r="L585" s="40"/>
      <c r="M585" s="40"/>
      <c r="N585" s="40"/>
      <c r="O585" s="40"/>
      <c r="P585" s="40"/>
      <c r="Q585" s="40"/>
      <c r="R585" s="40"/>
      <c r="S585" s="40"/>
      <c r="T585" s="40"/>
      <c r="U585" s="40"/>
      <c r="V585" s="40"/>
      <c r="W585" s="40"/>
      <c r="X585" s="40"/>
      <c r="Y585" s="40"/>
      <c r="Z585" s="40"/>
      <c r="AA585" s="40"/>
      <c r="AB585" s="40"/>
      <c r="AC585" s="40"/>
      <c r="AD585" s="40"/>
      <c r="AE585" s="40"/>
      <c r="AF585" s="40"/>
      <c r="AG585" s="40"/>
      <c r="AH585" s="40"/>
      <c r="AI585" s="40"/>
      <c r="AJ585" s="40"/>
      <c r="AK585" s="40"/>
      <c r="AL585" s="40"/>
      <c r="AM585" s="40"/>
      <c r="AN585" s="40"/>
      <c r="AO585" s="40"/>
      <c r="AP585" s="40"/>
    </row>
    <row r="586" spans="2:42" x14ac:dyDescent="0.2">
      <c r="B586" s="40"/>
      <c r="C586" s="40"/>
      <c r="D586" s="40"/>
      <c r="E586" s="40"/>
      <c r="F586" s="40"/>
      <c r="G586" s="40"/>
      <c r="H586" s="40"/>
      <c r="I586" s="40"/>
      <c r="J586" s="40"/>
      <c r="K586" s="40"/>
      <c r="L586" s="40"/>
      <c r="M586" s="40"/>
      <c r="N586" s="40"/>
      <c r="O586" s="40"/>
      <c r="P586" s="40"/>
      <c r="Q586" s="40"/>
      <c r="R586" s="40"/>
      <c r="S586" s="40"/>
      <c r="T586" s="40"/>
      <c r="U586" s="40"/>
      <c r="V586" s="40"/>
      <c r="W586" s="40"/>
      <c r="X586" s="40"/>
      <c r="Y586" s="40"/>
      <c r="Z586" s="40"/>
      <c r="AA586" s="40"/>
      <c r="AB586" s="40"/>
      <c r="AC586" s="40"/>
      <c r="AD586" s="40"/>
      <c r="AE586" s="40"/>
      <c r="AF586" s="40"/>
      <c r="AG586" s="40"/>
      <c r="AH586" s="40"/>
      <c r="AI586" s="40"/>
      <c r="AJ586" s="40"/>
      <c r="AK586" s="40"/>
      <c r="AL586" s="40"/>
      <c r="AM586" s="40"/>
      <c r="AN586" s="40"/>
      <c r="AO586" s="40"/>
      <c r="AP586" s="40"/>
    </row>
    <row r="587" spans="2:42" x14ac:dyDescent="0.2">
      <c r="B587" s="40"/>
      <c r="C587" s="40"/>
      <c r="D587" s="40"/>
      <c r="E587" s="40"/>
      <c r="F587" s="40"/>
      <c r="G587" s="40"/>
      <c r="H587" s="40"/>
      <c r="I587" s="40"/>
      <c r="J587" s="40"/>
      <c r="K587" s="40"/>
      <c r="L587" s="40"/>
      <c r="M587" s="40"/>
      <c r="N587" s="40"/>
      <c r="O587" s="40"/>
      <c r="P587" s="40"/>
      <c r="Q587" s="40"/>
      <c r="R587" s="40"/>
      <c r="S587" s="40"/>
      <c r="T587" s="40"/>
      <c r="U587" s="40"/>
      <c r="V587" s="40"/>
      <c r="W587" s="40"/>
      <c r="X587" s="40"/>
      <c r="Y587" s="40"/>
      <c r="Z587" s="40"/>
      <c r="AA587" s="40"/>
      <c r="AB587" s="40"/>
      <c r="AC587" s="40"/>
      <c r="AD587" s="40"/>
      <c r="AE587" s="40"/>
      <c r="AF587" s="40"/>
      <c r="AG587" s="40"/>
      <c r="AH587" s="40"/>
      <c r="AI587" s="40"/>
      <c r="AJ587" s="40"/>
      <c r="AK587" s="40"/>
      <c r="AL587" s="40"/>
      <c r="AM587" s="40"/>
      <c r="AN587" s="40"/>
      <c r="AO587" s="40"/>
      <c r="AP587" s="40"/>
    </row>
    <row r="588" spans="2:42" x14ac:dyDescent="0.2">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c r="AD588" s="40"/>
      <c r="AE588" s="40"/>
      <c r="AF588" s="40"/>
      <c r="AG588" s="40"/>
      <c r="AH588" s="40"/>
      <c r="AI588" s="40"/>
      <c r="AJ588" s="40"/>
      <c r="AK588" s="40"/>
      <c r="AL588" s="40"/>
      <c r="AM588" s="40"/>
      <c r="AN588" s="40"/>
      <c r="AO588" s="40"/>
      <c r="AP588" s="40"/>
    </row>
    <row r="589" spans="2:42" x14ac:dyDescent="0.2">
      <c r="B589" s="40"/>
      <c r="C589" s="40"/>
      <c r="D589" s="40"/>
      <c r="E589" s="40"/>
      <c r="F589" s="40"/>
      <c r="G589" s="40"/>
      <c r="H589" s="40"/>
      <c r="I589" s="40"/>
      <c r="J589" s="40"/>
      <c r="K589" s="40"/>
      <c r="L589" s="40"/>
      <c r="M589" s="40"/>
      <c r="N589" s="40"/>
      <c r="O589" s="40"/>
      <c r="P589" s="40"/>
      <c r="Q589" s="40"/>
      <c r="R589" s="40"/>
      <c r="S589" s="40"/>
      <c r="T589" s="40"/>
      <c r="U589" s="40"/>
      <c r="V589" s="40"/>
      <c r="W589" s="40"/>
      <c r="X589" s="40"/>
      <c r="Y589" s="40"/>
      <c r="Z589" s="40"/>
      <c r="AA589" s="40"/>
      <c r="AB589" s="40"/>
      <c r="AC589" s="40"/>
      <c r="AD589" s="40"/>
      <c r="AE589" s="40"/>
      <c r="AF589" s="40"/>
      <c r="AG589" s="40"/>
      <c r="AH589" s="40"/>
      <c r="AI589" s="40"/>
      <c r="AJ589" s="40"/>
      <c r="AK589" s="40"/>
      <c r="AL589" s="40"/>
      <c r="AM589" s="40"/>
      <c r="AN589" s="40"/>
      <c r="AO589" s="40"/>
      <c r="AP589" s="40"/>
    </row>
    <row r="590" spans="2:42" x14ac:dyDescent="0.2">
      <c r="B590" s="40"/>
      <c r="C590" s="40"/>
      <c r="D590" s="40"/>
      <c r="E590" s="40"/>
      <c r="F590" s="40"/>
      <c r="G590" s="40"/>
      <c r="H590" s="40"/>
      <c r="I590" s="40"/>
      <c r="J590" s="40"/>
      <c r="K590" s="40"/>
      <c r="L590" s="40"/>
      <c r="M590" s="40"/>
      <c r="N590" s="40"/>
      <c r="O590" s="40"/>
      <c r="P590" s="40"/>
      <c r="Q590" s="40"/>
      <c r="R590" s="40"/>
      <c r="S590" s="40"/>
      <c r="T590" s="40"/>
      <c r="U590" s="40"/>
      <c r="V590" s="40"/>
      <c r="W590" s="40"/>
      <c r="X590" s="40"/>
      <c r="Y590" s="40"/>
      <c r="Z590" s="40"/>
      <c r="AA590" s="40"/>
      <c r="AB590" s="40"/>
      <c r="AC590" s="40"/>
      <c r="AD590" s="40"/>
      <c r="AE590" s="40"/>
      <c r="AF590" s="40"/>
      <c r="AG590" s="40"/>
      <c r="AH590" s="40"/>
      <c r="AI590" s="40"/>
      <c r="AJ590" s="40"/>
      <c r="AK590" s="40"/>
      <c r="AL590" s="40"/>
      <c r="AM590" s="40"/>
      <c r="AN590" s="40"/>
      <c r="AO590" s="40"/>
      <c r="AP590" s="40"/>
    </row>
    <row r="591" spans="2:42" x14ac:dyDescent="0.2">
      <c r="B591" s="40"/>
      <c r="C591" s="40"/>
      <c r="D591" s="40"/>
      <c r="E591" s="40"/>
      <c r="F591" s="40"/>
      <c r="G591" s="40"/>
      <c r="H591" s="40"/>
      <c r="I591" s="40"/>
      <c r="J591" s="40"/>
      <c r="K591" s="40"/>
      <c r="L591" s="40"/>
      <c r="M591" s="40"/>
      <c r="N591" s="40"/>
      <c r="O591" s="40"/>
      <c r="P591" s="40"/>
      <c r="Q591" s="40"/>
      <c r="R591" s="40"/>
      <c r="S591" s="40"/>
      <c r="T591" s="40"/>
      <c r="U591" s="40"/>
      <c r="V591" s="40"/>
      <c r="W591" s="40"/>
      <c r="X591" s="40"/>
      <c r="Y591" s="40"/>
      <c r="Z591" s="40"/>
      <c r="AA591" s="40"/>
      <c r="AB591" s="40"/>
      <c r="AC591" s="40"/>
      <c r="AD591" s="40"/>
      <c r="AE591" s="40"/>
      <c r="AF591" s="40"/>
      <c r="AG591" s="40"/>
      <c r="AH591" s="40"/>
      <c r="AI591" s="40"/>
      <c r="AJ591" s="40"/>
      <c r="AK591" s="40"/>
      <c r="AL591" s="40"/>
      <c r="AM591" s="40"/>
      <c r="AN591" s="40"/>
      <c r="AO591" s="40"/>
      <c r="AP591" s="40"/>
    </row>
    <row r="592" spans="2:42" x14ac:dyDescent="0.2">
      <c r="B592" s="40"/>
      <c r="C592" s="40"/>
      <c r="D592" s="40"/>
      <c r="E592" s="40"/>
      <c r="F592" s="40"/>
      <c r="G592" s="40"/>
      <c r="H592" s="40"/>
      <c r="I592" s="40"/>
      <c r="J592" s="40"/>
      <c r="K592" s="40"/>
      <c r="L592" s="40"/>
      <c r="M592" s="40"/>
      <c r="N592" s="40"/>
      <c r="O592" s="40"/>
      <c r="P592" s="40"/>
      <c r="Q592" s="40"/>
      <c r="R592" s="40"/>
      <c r="S592" s="40"/>
      <c r="T592" s="40"/>
      <c r="U592" s="40"/>
      <c r="V592" s="40"/>
      <c r="W592" s="40"/>
      <c r="X592" s="40"/>
      <c r="Y592" s="40"/>
      <c r="Z592" s="40"/>
      <c r="AA592" s="40"/>
      <c r="AB592" s="40"/>
      <c r="AC592" s="40"/>
      <c r="AD592" s="40"/>
      <c r="AE592" s="40"/>
      <c r="AF592" s="40"/>
      <c r="AG592" s="40"/>
      <c r="AH592" s="40"/>
      <c r="AI592" s="40"/>
      <c r="AJ592" s="40"/>
      <c r="AK592" s="40"/>
      <c r="AL592" s="40"/>
      <c r="AM592" s="40"/>
      <c r="AN592" s="40"/>
      <c r="AO592" s="40"/>
      <c r="AP592" s="40"/>
    </row>
    <row r="593" spans="2:42" x14ac:dyDescent="0.2">
      <c r="B593" s="40"/>
      <c r="C593" s="40"/>
      <c r="D593" s="40"/>
      <c r="E593" s="40"/>
      <c r="F593" s="40"/>
      <c r="G593" s="40"/>
      <c r="H593" s="40"/>
      <c r="I593" s="40"/>
      <c r="J593" s="40"/>
      <c r="K593" s="40"/>
      <c r="L593" s="40"/>
      <c r="M593" s="40"/>
      <c r="N593" s="40"/>
      <c r="O593" s="40"/>
      <c r="P593" s="40"/>
      <c r="Q593" s="40"/>
      <c r="R593" s="40"/>
      <c r="S593" s="40"/>
      <c r="T593" s="40"/>
      <c r="U593" s="40"/>
      <c r="V593" s="40"/>
      <c r="W593" s="40"/>
      <c r="X593" s="40"/>
      <c r="Y593" s="40"/>
      <c r="Z593" s="40"/>
      <c r="AA593" s="40"/>
      <c r="AB593" s="40"/>
      <c r="AC593" s="40"/>
      <c r="AD593" s="40"/>
      <c r="AE593" s="40"/>
      <c r="AF593" s="40"/>
      <c r="AG593" s="40"/>
      <c r="AH593" s="40"/>
      <c r="AI593" s="40"/>
      <c r="AJ593" s="40"/>
      <c r="AK593" s="40"/>
      <c r="AL593" s="40"/>
      <c r="AM593" s="40"/>
      <c r="AN593" s="40"/>
      <c r="AO593" s="40"/>
      <c r="AP593" s="40"/>
    </row>
    <row r="594" spans="2:42" x14ac:dyDescent="0.2">
      <c r="B594" s="40"/>
      <c r="C594" s="40"/>
      <c r="D594" s="40"/>
      <c r="E594" s="40"/>
      <c r="F594" s="40"/>
      <c r="G594" s="40"/>
      <c r="H594" s="40"/>
      <c r="I594" s="40"/>
      <c r="J594" s="40"/>
      <c r="K594" s="40"/>
      <c r="L594" s="40"/>
      <c r="M594" s="40"/>
      <c r="N594" s="40"/>
      <c r="O594" s="40"/>
      <c r="P594" s="40"/>
      <c r="Q594" s="40"/>
      <c r="R594" s="40"/>
      <c r="S594" s="40"/>
      <c r="T594" s="40"/>
      <c r="U594" s="40"/>
      <c r="V594" s="40"/>
      <c r="W594" s="40"/>
      <c r="X594" s="40"/>
      <c r="Y594" s="40"/>
      <c r="Z594" s="40"/>
      <c r="AA594" s="40"/>
      <c r="AB594" s="40"/>
      <c r="AC594" s="40"/>
      <c r="AD594" s="40"/>
      <c r="AE594" s="40"/>
      <c r="AF594" s="40"/>
      <c r="AG594" s="40"/>
      <c r="AH594" s="40"/>
      <c r="AI594" s="40"/>
      <c r="AJ594" s="40"/>
      <c r="AK594" s="40"/>
      <c r="AL594" s="40"/>
      <c r="AM594" s="40"/>
      <c r="AN594" s="40"/>
      <c r="AO594" s="40"/>
      <c r="AP594" s="40"/>
    </row>
    <row r="595" spans="2:42" x14ac:dyDescent="0.2">
      <c r="B595" s="40"/>
      <c r="C595" s="40"/>
      <c r="D595" s="40"/>
      <c r="E595" s="40"/>
      <c r="F595" s="40"/>
      <c r="G595" s="40"/>
      <c r="H595" s="40"/>
      <c r="I595" s="40"/>
      <c r="J595" s="40"/>
      <c r="K595" s="40"/>
      <c r="L595" s="40"/>
      <c r="M595" s="40"/>
      <c r="N595" s="40"/>
      <c r="O595" s="40"/>
      <c r="P595" s="40"/>
      <c r="Q595" s="40"/>
      <c r="R595" s="40"/>
      <c r="S595" s="40"/>
      <c r="T595" s="40"/>
      <c r="U595" s="40"/>
      <c r="V595" s="40"/>
      <c r="W595" s="40"/>
      <c r="X595" s="40"/>
      <c r="Y595" s="40"/>
      <c r="Z595" s="40"/>
      <c r="AA595" s="40"/>
      <c r="AB595" s="40"/>
      <c r="AC595" s="40"/>
      <c r="AD595" s="40"/>
      <c r="AE595" s="40"/>
      <c r="AF595" s="40"/>
      <c r="AG595" s="40"/>
      <c r="AH595" s="40"/>
      <c r="AI595" s="40"/>
      <c r="AJ595" s="40"/>
      <c r="AK595" s="40"/>
      <c r="AL595" s="40"/>
      <c r="AM595" s="40"/>
      <c r="AN595" s="40"/>
      <c r="AO595" s="40"/>
      <c r="AP595" s="40"/>
    </row>
    <row r="596" spans="2:42" x14ac:dyDescent="0.2">
      <c r="B596" s="40"/>
      <c r="C596" s="40"/>
      <c r="D596" s="40"/>
      <c r="E596" s="40"/>
      <c r="F596" s="40"/>
      <c r="G596" s="40"/>
      <c r="H596" s="40"/>
      <c r="I596" s="40"/>
      <c r="J596" s="40"/>
      <c r="K596" s="40"/>
      <c r="L596" s="40"/>
      <c r="M596" s="40"/>
      <c r="N596" s="40"/>
      <c r="O596" s="40"/>
      <c r="P596" s="40"/>
      <c r="Q596" s="40"/>
      <c r="R596" s="40"/>
      <c r="S596" s="40"/>
      <c r="T596" s="40"/>
      <c r="U596" s="40"/>
      <c r="V596" s="40"/>
      <c r="W596" s="40"/>
      <c r="X596" s="40"/>
      <c r="Y596" s="40"/>
      <c r="Z596" s="40"/>
      <c r="AA596" s="40"/>
      <c r="AB596" s="40"/>
      <c r="AC596" s="40"/>
      <c r="AD596" s="40"/>
      <c r="AE596" s="40"/>
      <c r="AF596" s="40"/>
      <c r="AG596" s="40"/>
      <c r="AH596" s="40"/>
      <c r="AI596" s="40"/>
      <c r="AJ596" s="40"/>
      <c r="AK596" s="40"/>
      <c r="AL596" s="40"/>
      <c r="AM596" s="40"/>
      <c r="AN596" s="40"/>
      <c r="AO596" s="40"/>
      <c r="AP596" s="40"/>
    </row>
    <row r="597" spans="2:42" x14ac:dyDescent="0.2">
      <c r="B597" s="40"/>
      <c r="C597" s="40"/>
      <c r="D597" s="40"/>
      <c r="E597" s="40"/>
      <c r="F597" s="40"/>
      <c r="G597" s="40"/>
      <c r="H597" s="40"/>
      <c r="I597" s="40"/>
      <c r="J597" s="40"/>
      <c r="K597" s="40"/>
      <c r="L597" s="40"/>
      <c r="M597" s="40"/>
      <c r="N597" s="40"/>
      <c r="O597" s="40"/>
      <c r="P597" s="40"/>
      <c r="Q597" s="40"/>
      <c r="R597" s="40"/>
      <c r="S597" s="40"/>
      <c r="T597" s="40"/>
      <c r="U597" s="40"/>
      <c r="V597" s="40"/>
      <c r="W597" s="40"/>
      <c r="X597" s="40"/>
      <c r="Y597" s="40"/>
      <c r="Z597" s="40"/>
      <c r="AA597" s="40"/>
      <c r="AB597" s="40"/>
      <c r="AC597" s="40"/>
      <c r="AD597" s="40"/>
      <c r="AE597" s="40"/>
      <c r="AF597" s="40"/>
      <c r="AG597" s="40"/>
      <c r="AH597" s="40"/>
      <c r="AI597" s="40"/>
      <c r="AJ597" s="40"/>
      <c r="AK597" s="40"/>
      <c r="AL597" s="40"/>
      <c r="AM597" s="40"/>
      <c r="AN597" s="40"/>
      <c r="AO597" s="40"/>
      <c r="AP597" s="40"/>
    </row>
    <row r="598" spans="2:42" x14ac:dyDescent="0.2">
      <c r="B598" s="40"/>
      <c r="C598" s="40"/>
      <c r="D598" s="40"/>
      <c r="E598" s="40"/>
      <c r="F598" s="40"/>
      <c r="G598" s="40"/>
      <c r="H598" s="40"/>
      <c r="I598" s="40"/>
      <c r="J598" s="40"/>
      <c r="K598" s="40"/>
      <c r="L598" s="40"/>
      <c r="M598" s="40"/>
      <c r="N598" s="40"/>
      <c r="O598" s="40"/>
      <c r="P598" s="40"/>
      <c r="Q598" s="40"/>
      <c r="R598" s="40"/>
      <c r="S598" s="40"/>
      <c r="T598" s="40"/>
      <c r="U598" s="40"/>
      <c r="V598" s="40"/>
      <c r="W598" s="40"/>
      <c r="X598" s="40"/>
      <c r="Y598" s="40"/>
      <c r="Z598" s="40"/>
      <c r="AA598" s="40"/>
      <c r="AB598" s="40"/>
      <c r="AC598" s="40"/>
      <c r="AD598" s="40"/>
      <c r="AE598" s="40"/>
      <c r="AF598" s="40"/>
      <c r="AG598" s="40"/>
      <c r="AH598" s="40"/>
      <c r="AI598" s="40"/>
      <c r="AJ598" s="40"/>
      <c r="AK598" s="40"/>
      <c r="AL598" s="40"/>
      <c r="AM598" s="40"/>
      <c r="AN598" s="40"/>
      <c r="AO598" s="40"/>
      <c r="AP598" s="40"/>
    </row>
    <row r="599" spans="2:42" x14ac:dyDescent="0.2">
      <c r="B599" s="40"/>
      <c r="C599" s="40"/>
      <c r="D599" s="40"/>
      <c r="E599" s="40"/>
      <c r="F599" s="40"/>
      <c r="G599" s="40"/>
      <c r="H599" s="40"/>
      <c r="I599" s="40"/>
      <c r="J599" s="40"/>
      <c r="K599" s="40"/>
      <c r="L599" s="40"/>
      <c r="M599" s="40"/>
      <c r="N599" s="40"/>
      <c r="O599" s="40"/>
      <c r="P599" s="40"/>
      <c r="Q599" s="40"/>
      <c r="R599" s="40"/>
      <c r="S599" s="40"/>
      <c r="T599" s="40"/>
      <c r="U599" s="40"/>
      <c r="V599" s="40"/>
      <c r="W599" s="40"/>
      <c r="X599" s="40"/>
      <c r="Y599" s="40"/>
      <c r="Z599" s="40"/>
      <c r="AA599" s="40"/>
      <c r="AB599" s="40"/>
      <c r="AC599" s="40"/>
      <c r="AD599" s="40"/>
      <c r="AE599" s="40"/>
      <c r="AF599" s="40"/>
      <c r="AG599" s="40"/>
      <c r="AH599" s="40"/>
      <c r="AI599" s="40"/>
      <c r="AJ599" s="40"/>
      <c r="AK599" s="40"/>
      <c r="AL599" s="40"/>
      <c r="AM599" s="40"/>
      <c r="AN599" s="40"/>
      <c r="AO599" s="40"/>
      <c r="AP599" s="40"/>
    </row>
    <row r="600" spans="2:42" x14ac:dyDescent="0.2">
      <c r="B600" s="40"/>
      <c r="C600" s="40"/>
      <c r="D600" s="40"/>
      <c r="E600" s="40"/>
      <c r="F600" s="40"/>
      <c r="G600" s="40"/>
      <c r="H600" s="40"/>
      <c r="I600" s="40"/>
      <c r="J600" s="40"/>
      <c r="K600" s="40"/>
      <c r="L600" s="40"/>
      <c r="M600" s="40"/>
      <c r="N600" s="40"/>
      <c r="O600" s="40"/>
      <c r="P600" s="40"/>
      <c r="Q600" s="40"/>
      <c r="R600" s="40"/>
      <c r="S600" s="40"/>
      <c r="T600" s="40"/>
      <c r="U600" s="40"/>
      <c r="V600" s="40"/>
      <c r="W600" s="40"/>
      <c r="X600" s="40"/>
      <c r="Y600" s="40"/>
      <c r="Z600" s="40"/>
      <c r="AA600" s="40"/>
      <c r="AB600" s="40"/>
      <c r="AC600" s="40"/>
      <c r="AD600" s="40"/>
      <c r="AE600" s="40"/>
      <c r="AF600" s="40"/>
      <c r="AG600" s="40"/>
      <c r="AH600" s="40"/>
      <c r="AI600" s="40"/>
      <c r="AJ600" s="40"/>
      <c r="AK600" s="40"/>
      <c r="AL600" s="40"/>
      <c r="AM600" s="40"/>
      <c r="AN600" s="40"/>
      <c r="AO600" s="40"/>
      <c r="AP600" s="40"/>
    </row>
    <row r="601" spans="2:42" x14ac:dyDescent="0.2">
      <c r="B601" s="40"/>
      <c r="C601" s="40"/>
      <c r="D601" s="40"/>
      <c r="E601" s="40"/>
      <c r="F601" s="40"/>
      <c r="G601" s="40"/>
      <c r="H601" s="40"/>
      <c r="I601" s="40"/>
      <c r="J601" s="40"/>
      <c r="K601" s="40"/>
      <c r="L601" s="40"/>
      <c r="M601" s="40"/>
      <c r="N601" s="40"/>
      <c r="O601" s="40"/>
      <c r="P601" s="40"/>
      <c r="Q601" s="40"/>
      <c r="R601" s="40"/>
      <c r="S601" s="40"/>
      <c r="T601" s="40"/>
      <c r="U601" s="40"/>
      <c r="V601" s="40"/>
      <c r="W601" s="40"/>
      <c r="X601" s="40"/>
      <c r="Y601" s="40"/>
      <c r="Z601" s="40"/>
      <c r="AA601" s="40"/>
      <c r="AB601" s="40"/>
      <c r="AC601" s="40"/>
      <c r="AD601" s="40"/>
      <c r="AE601" s="40"/>
      <c r="AF601" s="40"/>
      <c r="AG601" s="40"/>
      <c r="AH601" s="40"/>
      <c r="AI601" s="40"/>
      <c r="AJ601" s="40"/>
      <c r="AK601" s="40"/>
      <c r="AL601" s="40"/>
      <c r="AM601" s="40"/>
      <c r="AN601" s="40"/>
      <c r="AO601" s="40"/>
      <c r="AP601" s="40"/>
    </row>
    <row r="602" spans="2:42" x14ac:dyDescent="0.2">
      <c r="B602" s="40"/>
      <c r="C602" s="40"/>
      <c r="D602" s="40"/>
      <c r="E602" s="40"/>
      <c r="F602" s="40"/>
      <c r="G602" s="40"/>
      <c r="H602" s="40"/>
      <c r="I602" s="40"/>
      <c r="J602" s="40"/>
      <c r="K602" s="40"/>
      <c r="L602" s="40"/>
      <c r="M602" s="40"/>
      <c r="N602" s="40"/>
      <c r="O602" s="40"/>
      <c r="P602" s="40"/>
      <c r="Q602" s="40"/>
      <c r="R602" s="40"/>
      <c r="S602" s="40"/>
      <c r="T602" s="40"/>
      <c r="U602" s="40"/>
      <c r="V602" s="40"/>
      <c r="W602" s="40"/>
      <c r="X602" s="40"/>
      <c r="Y602" s="40"/>
      <c r="Z602" s="40"/>
      <c r="AA602" s="40"/>
      <c r="AB602" s="40"/>
      <c r="AC602" s="40"/>
      <c r="AD602" s="40"/>
      <c r="AE602" s="40"/>
      <c r="AF602" s="40"/>
      <c r="AG602" s="40"/>
      <c r="AH602" s="40"/>
      <c r="AI602" s="40"/>
      <c r="AJ602" s="40"/>
      <c r="AK602" s="40"/>
      <c r="AL602" s="40"/>
      <c r="AM602" s="40"/>
      <c r="AN602" s="40"/>
      <c r="AO602" s="40"/>
      <c r="AP602" s="40"/>
    </row>
    <row r="603" spans="2:42" x14ac:dyDescent="0.2">
      <c r="B603" s="40"/>
      <c r="C603" s="40"/>
      <c r="D603" s="40"/>
      <c r="E603" s="40"/>
      <c r="F603" s="40"/>
      <c r="G603" s="40"/>
      <c r="H603" s="40"/>
      <c r="I603" s="40"/>
      <c r="J603" s="40"/>
      <c r="K603" s="40"/>
      <c r="L603" s="40"/>
      <c r="M603" s="40"/>
      <c r="N603" s="40"/>
      <c r="O603" s="40"/>
      <c r="P603" s="40"/>
      <c r="Q603" s="40"/>
      <c r="R603" s="40"/>
      <c r="S603" s="40"/>
      <c r="T603" s="40"/>
      <c r="U603" s="40"/>
      <c r="V603" s="40"/>
      <c r="W603" s="40"/>
      <c r="X603" s="40"/>
      <c r="Y603" s="40"/>
      <c r="Z603" s="40"/>
      <c r="AA603" s="40"/>
      <c r="AB603" s="40"/>
      <c r="AC603" s="40"/>
      <c r="AD603" s="40"/>
      <c r="AE603" s="40"/>
      <c r="AF603" s="40"/>
      <c r="AG603" s="40"/>
      <c r="AH603" s="40"/>
      <c r="AI603" s="40"/>
      <c r="AJ603" s="40"/>
      <c r="AK603" s="40"/>
      <c r="AL603" s="40"/>
      <c r="AM603" s="40"/>
      <c r="AN603" s="40"/>
      <c r="AO603" s="40"/>
      <c r="AP603" s="40"/>
    </row>
    <row r="604" spans="2:42" x14ac:dyDescent="0.2">
      <c r="B604" s="40"/>
      <c r="C604" s="40"/>
      <c r="D604" s="40"/>
      <c r="E604" s="40"/>
      <c r="F604" s="40"/>
      <c r="G604" s="40"/>
      <c r="H604" s="40"/>
      <c r="I604" s="40"/>
      <c r="J604" s="40"/>
      <c r="K604" s="40"/>
      <c r="L604" s="40"/>
      <c r="M604" s="40"/>
      <c r="N604" s="40"/>
      <c r="O604" s="40"/>
      <c r="P604" s="40"/>
      <c r="Q604" s="40"/>
      <c r="R604" s="40"/>
      <c r="S604" s="40"/>
      <c r="T604" s="40"/>
      <c r="U604" s="40"/>
      <c r="V604" s="40"/>
      <c r="W604" s="40"/>
      <c r="X604" s="40"/>
      <c r="Y604" s="40"/>
      <c r="Z604" s="40"/>
      <c r="AA604" s="40"/>
      <c r="AB604" s="40"/>
      <c r="AC604" s="40"/>
      <c r="AD604" s="40"/>
      <c r="AE604" s="40"/>
      <c r="AF604" s="40"/>
      <c r="AG604" s="40"/>
      <c r="AH604" s="40"/>
      <c r="AI604" s="40"/>
      <c r="AJ604" s="40"/>
      <c r="AK604" s="40"/>
      <c r="AL604" s="40"/>
      <c r="AM604" s="40"/>
      <c r="AN604" s="40"/>
      <c r="AO604" s="40"/>
      <c r="AP604" s="40"/>
    </row>
    <row r="605" spans="2:42" x14ac:dyDescent="0.2">
      <c r="B605" s="40"/>
      <c r="C605" s="40"/>
      <c r="D605" s="40"/>
      <c r="E605" s="40"/>
      <c r="F605" s="40"/>
      <c r="G605" s="40"/>
      <c r="H605" s="40"/>
      <c r="I605" s="40"/>
      <c r="J605" s="40"/>
      <c r="K605" s="40"/>
      <c r="L605" s="40"/>
      <c r="M605" s="40"/>
      <c r="N605" s="40"/>
      <c r="O605" s="40"/>
      <c r="P605" s="40"/>
      <c r="Q605" s="40"/>
      <c r="R605" s="40"/>
      <c r="S605" s="40"/>
      <c r="T605" s="40"/>
      <c r="U605" s="40"/>
      <c r="V605" s="40"/>
      <c r="W605" s="40"/>
      <c r="X605" s="40"/>
      <c r="Y605" s="40"/>
      <c r="Z605" s="40"/>
      <c r="AA605" s="40"/>
      <c r="AB605" s="40"/>
      <c r="AC605" s="40"/>
      <c r="AD605" s="40"/>
      <c r="AE605" s="40"/>
      <c r="AF605" s="40"/>
      <c r="AG605" s="40"/>
      <c r="AH605" s="40"/>
      <c r="AI605" s="40"/>
      <c r="AJ605" s="40"/>
      <c r="AK605" s="40"/>
      <c r="AL605" s="40"/>
      <c r="AM605" s="40"/>
      <c r="AN605" s="40"/>
      <c r="AO605" s="40"/>
      <c r="AP605" s="40"/>
    </row>
    <row r="606" spans="2:42" x14ac:dyDescent="0.2">
      <c r="B606" s="40"/>
      <c r="C606" s="40"/>
      <c r="D606" s="40"/>
      <c r="E606" s="40"/>
      <c r="F606" s="40"/>
      <c r="G606" s="40"/>
      <c r="H606" s="40"/>
      <c r="I606" s="40"/>
      <c r="J606" s="40"/>
      <c r="K606" s="40"/>
      <c r="L606" s="40"/>
      <c r="M606" s="40"/>
      <c r="N606" s="40"/>
      <c r="O606" s="40"/>
      <c r="P606" s="40"/>
      <c r="Q606" s="40"/>
      <c r="R606" s="40"/>
      <c r="S606" s="40"/>
      <c r="T606" s="40"/>
      <c r="U606" s="40"/>
      <c r="V606" s="40"/>
      <c r="W606" s="40"/>
      <c r="X606" s="40"/>
      <c r="Y606" s="40"/>
      <c r="Z606" s="40"/>
      <c r="AA606" s="40"/>
      <c r="AB606" s="40"/>
      <c r="AC606" s="40"/>
      <c r="AD606" s="40"/>
      <c r="AE606" s="40"/>
      <c r="AF606" s="40"/>
      <c r="AG606" s="40"/>
      <c r="AH606" s="40"/>
      <c r="AI606" s="40"/>
      <c r="AJ606" s="40"/>
      <c r="AK606" s="40"/>
      <c r="AL606" s="40"/>
      <c r="AM606" s="40"/>
      <c r="AN606" s="40"/>
      <c r="AO606" s="40"/>
      <c r="AP606" s="40"/>
    </row>
    <row r="607" spans="2:42" x14ac:dyDescent="0.2">
      <c r="B607" s="40"/>
      <c r="C607" s="40"/>
      <c r="D607" s="40"/>
      <c r="E607" s="40"/>
      <c r="F607" s="40"/>
      <c r="G607" s="40"/>
      <c r="H607" s="40"/>
      <c r="I607" s="40"/>
      <c r="J607" s="40"/>
      <c r="K607" s="40"/>
      <c r="L607" s="40"/>
      <c r="M607" s="40"/>
      <c r="N607" s="40"/>
      <c r="O607" s="40"/>
      <c r="P607" s="40"/>
      <c r="Q607" s="40"/>
      <c r="R607" s="40"/>
      <c r="S607" s="40"/>
      <c r="T607" s="40"/>
      <c r="U607" s="40"/>
      <c r="V607" s="40"/>
      <c r="W607" s="40"/>
      <c r="X607" s="40"/>
      <c r="Y607" s="40"/>
      <c r="Z607" s="40"/>
      <c r="AA607" s="40"/>
      <c r="AB607" s="40"/>
      <c r="AC607" s="40"/>
      <c r="AD607" s="40"/>
      <c r="AE607" s="40"/>
      <c r="AF607" s="40"/>
      <c r="AG607" s="40"/>
      <c r="AH607" s="40"/>
      <c r="AI607" s="40"/>
      <c r="AJ607" s="40"/>
      <c r="AK607" s="40"/>
      <c r="AL607" s="40"/>
      <c r="AM607" s="40"/>
      <c r="AN607" s="40"/>
      <c r="AO607" s="40"/>
      <c r="AP607" s="40"/>
    </row>
    <row r="608" spans="2:42" x14ac:dyDescent="0.2">
      <c r="B608" s="40"/>
      <c r="C608" s="40"/>
      <c r="D608" s="40"/>
      <c r="E608" s="40"/>
      <c r="F608" s="40"/>
      <c r="G608" s="40"/>
      <c r="H608" s="40"/>
      <c r="I608" s="40"/>
      <c r="J608" s="40"/>
      <c r="K608" s="40"/>
      <c r="L608" s="40"/>
      <c r="M608" s="40"/>
      <c r="N608" s="40"/>
      <c r="O608" s="40"/>
      <c r="P608" s="40"/>
      <c r="Q608" s="40"/>
      <c r="R608" s="40"/>
      <c r="S608" s="40"/>
      <c r="T608" s="40"/>
      <c r="U608" s="40"/>
      <c r="V608" s="40"/>
      <c r="W608" s="40"/>
      <c r="X608" s="40"/>
      <c r="Y608" s="40"/>
      <c r="Z608" s="40"/>
      <c r="AA608" s="40"/>
      <c r="AB608" s="40"/>
      <c r="AC608" s="40"/>
      <c r="AD608" s="40"/>
      <c r="AE608" s="40"/>
      <c r="AF608" s="40"/>
      <c r="AG608" s="40"/>
      <c r="AH608" s="40"/>
      <c r="AI608" s="40"/>
      <c r="AJ608" s="40"/>
      <c r="AK608" s="40"/>
      <c r="AL608" s="40"/>
      <c r="AM608" s="40"/>
      <c r="AN608" s="40"/>
      <c r="AO608" s="40"/>
      <c r="AP608" s="40"/>
    </row>
    <row r="609" spans="2:42" x14ac:dyDescent="0.2">
      <c r="B609" s="40"/>
      <c r="C609" s="40"/>
      <c r="D609" s="40"/>
      <c r="E609" s="40"/>
      <c r="F609" s="40"/>
      <c r="G609" s="40"/>
      <c r="H609" s="40"/>
      <c r="I609" s="40"/>
      <c r="J609" s="40"/>
      <c r="K609" s="40"/>
      <c r="L609" s="40"/>
      <c r="M609" s="40"/>
      <c r="N609" s="40"/>
      <c r="O609" s="40"/>
      <c r="P609" s="40"/>
      <c r="Q609" s="40"/>
      <c r="R609" s="40"/>
      <c r="S609" s="40"/>
      <c r="T609" s="40"/>
      <c r="U609" s="40"/>
      <c r="V609" s="40"/>
      <c r="W609" s="40"/>
      <c r="X609" s="40"/>
      <c r="Y609" s="40"/>
      <c r="Z609" s="40"/>
      <c r="AA609" s="40"/>
      <c r="AB609" s="40"/>
      <c r="AC609" s="40"/>
      <c r="AD609" s="40"/>
      <c r="AE609" s="40"/>
      <c r="AF609" s="40"/>
      <c r="AG609" s="40"/>
      <c r="AH609" s="40"/>
      <c r="AI609" s="40"/>
      <c r="AJ609" s="40"/>
      <c r="AK609" s="40"/>
      <c r="AL609" s="40"/>
      <c r="AM609" s="40"/>
      <c r="AN609" s="40"/>
      <c r="AO609" s="40"/>
      <c r="AP609" s="40"/>
    </row>
    <row r="610" spans="2:42" x14ac:dyDescent="0.2">
      <c r="B610" s="40"/>
      <c r="C610" s="40"/>
      <c r="D610" s="40"/>
      <c r="E610" s="40"/>
      <c r="F610" s="40"/>
      <c r="G610" s="40"/>
      <c r="H610" s="40"/>
      <c r="I610" s="40"/>
      <c r="J610" s="40"/>
      <c r="K610" s="40"/>
      <c r="L610" s="40"/>
      <c r="M610" s="40"/>
      <c r="N610" s="40"/>
      <c r="O610" s="40"/>
      <c r="P610" s="40"/>
      <c r="Q610" s="40"/>
      <c r="R610" s="40"/>
      <c r="S610" s="40"/>
      <c r="T610" s="40"/>
      <c r="U610" s="40"/>
      <c r="V610" s="40"/>
      <c r="W610" s="40"/>
      <c r="X610" s="40"/>
      <c r="Y610" s="40"/>
      <c r="Z610" s="40"/>
      <c r="AA610" s="40"/>
      <c r="AB610" s="40"/>
      <c r="AC610" s="40"/>
      <c r="AD610" s="40"/>
      <c r="AE610" s="40"/>
      <c r="AF610" s="40"/>
      <c r="AG610" s="40"/>
      <c r="AH610" s="40"/>
      <c r="AI610" s="40"/>
      <c r="AJ610" s="40"/>
      <c r="AK610" s="40"/>
      <c r="AL610" s="40"/>
      <c r="AM610" s="40"/>
      <c r="AN610" s="40"/>
      <c r="AO610" s="40"/>
      <c r="AP610" s="40"/>
    </row>
    <row r="611" spans="2:42" x14ac:dyDescent="0.2">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c r="AG611" s="40"/>
      <c r="AH611" s="40"/>
      <c r="AI611" s="40"/>
      <c r="AJ611" s="40"/>
      <c r="AK611" s="40"/>
      <c r="AL611" s="40"/>
      <c r="AM611" s="40"/>
      <c r="AN611" s="40"/>
      <c r="AO611" s="40"/>
      <c r="AP611" s="40"/>
    </row>
    <row r="612" spans="2:42" x14ac:dyDescent="0.2">
      <c r="B612" s="40"/>
      <c r="C612" s="40"/>
      <c r="D612" s="40"/>
      <c r="E612" s="40"/>
      <c r="F612" s="40"/>
      <c r="G612" s="40"/>
      <c r="H612" s="40"/>
      <c r="I612" s="40"/>
      <c r="J612" s="40"/>
      <c r="K612" s="40"/>
      <c r="L612" s="40"/>
      <c r="M612" s="40"/>
      <c r="N612" s="40"/>
      <c r="O612" s="40"/>
      <c r="P612" s="40"/>
      <c r="Q612" s="40"/>
      <c r="R612" s="40"/>
      <c r="S612" s="40"/>
      <c r="T612" s="40"/>
      <c r="U612" s="40"/>
      <c r="V612" s="40"/>
      <c r="W612" s="40"/>
      <c r="X612" s="40"/>
      <c r="Y612" s="40"/>
      <c r="Z612" s="40"/>
      <c r="AA612" s="40"/>
      <c r="AB612" s="40"/>
      <c r="AC612" s="40"/>
      <c r="AD612" s="40"/>
      <c r="AE612" s="40"/>
      <c r="AF612" s="40"/>
      <c r="AG612" s="40"/>
      <c r="AH612" s="40"/>
      <c r="AI612" s="40"/>
      <c r="AJ612" s="40"/>
      <c r="AK612" s="40"/>
      <c r="AL612" s="40"/>
      <c r="AM612" s="40"/>
      <c r="AN612" s="40"/>
      <c r="AO612" s="40"/>
      <c r="AP612" s="40"/>
    </row>
    <row r="613" spans="2:42" x14ac:dyDescent="0.2">
      <c r="B613" s="40"/>
      <c r="C613" s="40"/>
      <c r="D613" s="40"/>
      <c r="E613" s="40"/>
      <c r="F613" s="40"/>
      <c r="G613" s="40"/>
      <c r="H613" s="40"/>
      <c r="I613" s="40"/>
      <c r="J613" s="40"/>
      <c r="K613" s="40"/>
      <c r="L613" s="40"/>
      <c r="M613" s="40"/>
      <c r="N613" s="40"/>
      <c r="O613" s="40"/>
      <c r="P613" s="40"/>
      <c r="Q613" s="40"/>
      <c r="R613" s="40"/>
      <c r="S613" s="40"/>
      <c r="T613" s="40"/>
      <c r="U613" s="40"/>
      <c r="V613" s="40"/>
      <c r="W613" s="40"/>
      <c r="X613" s="40"/>
      <c r="Y613" s="40"/>
      <c r="Z613" s="40"/>
      <c r="AA613" s="40"/>
      <c r="AB613" s="40"/>
      <c r="AC613" s="40"/>
      <c r="AD613" s="40"/>
      <c r="AE613" s="40"/>
      <c r="AF613" s="40"/>
      <c r="AG613" s="40"/>
      <c r="AH613" s="40"/>
      <c r="AI613" s="40"/>
      <c r="AJ613" s="40"/>
      <c r="AK613" s="40"/>
      <c r="AL613" s="40"/>
      <c r="AM613" s="40"/>
      <c r="AN613" s="40"/>
      <c r="AO613" s="40"/>
      <c r="AP613" s="40"/>
    </row>
    <row r="614" spans="2:42" x14ac:dyDescent="0.2">
      <c r="B614" s="40"/>
      <c r="C614" s="40"/>
      <c r="D614" s="40"/>
      <c r="E614" s="40"/>
      <c r="F614" s="40"/>
      <c r="G614" s="40"/>
      <c r="H614" s="40"/>
      <c r="I614" s="40"/>
      <c r="J614" s="40"/>
      <c r="K614" s="40"/>
      <c r="L614" s="40"/>
      <c r="M614" s="40"/>
      <c r="N614" s="40"/>
      <c r="O614" s="40"/>
      <c r="P614" s="40"/>
      <c r="Q614" s="40"/>
      <c r="R614" s="40"/>
      <c r="S614" s="40"/>
      <c r="T614" s="40"/>
      <c r="U614" s="40"/>
      <c r="V614" s="40"/>
      <c r="W614" s="40"/>
      <c r="X614" s="40"/>
      <c r="Y614" s="40"/>
      <c r="Z614" s="40"/>
      <c r="AA614" s="40"/>
      <c r="AB614" s="40"/>
      <c r="AC614" s="40"/>
      <c r="AD614" s="40"/>
      <c r="AE614" s="40"/>
      <c r="AF614" s="40"/>
      <c r="AG614" s="40"/>
      <c r="AH614" s="40"/>
      <c r="AI614" s="40"/>
      <c r="AJ614" s="40"/>
      <c r="AK614" s="40"/>
      <c r="AL614" s="40"/>
      <c r="AM614" s="40"/>
      <c r="AN614" s="40"/>
      <c r="AO614" s="40"/>
      <c r="AP614" s="40"/>
    </row>
    <row r="615" spans="2:42" x14ac:dyDescent="0.2">
      <c r="B615" s="40"/>
      <c r="C615" s="40"/>
      <c r="D615" s="40"/>
      <c r="E615" s="40"/>
      <c r="F615" s="40"/>
      <c r="G615" s="40"/>
      <c r="H615" s="40"/>
      <c r="I615" s="40"/>
      <c r="J615" s="40"/>
      <c r="K615" s="40"/>
      <c r="L615" s="40"/>
      <c r="M615" s="40"/>
      <c r="N615" s="40"/>
      <c r="O615" s="40"/>
      <c r="P615" s="40"/>
      <c r="Q615" s="40"/>
      <c r="R615" s="40"/>
      <c r="S615" s="40"/>
      <c r="T615" s="40"/>
      <c r="U615" s="40"/>
      <c r="V615" s="40"/>
      <c r="W615" s="40"/>
      <c r="X615" s="40"/>
      <c r="Y615" s="40"/>
      <c r="Z615" s="40"/>
      <c r="AA615" s="40"/>
      <c r="AB615" s="40"/>
      <c r="AC615" s="40"/>
      <c r="AD615" s="40"/>
      <c r="AE615" s="40"/>
      <c r="AF615" s="40"/>
      <c r="AG615" s="40"/>
      <c r="AH615" s="40"/>
      <c r="AI615" s="40"/>
      <c r="AJ615" s="40"/>
      <c r="AK615" s="40"/>
      <c r="AL615" s="40"/>
      <c r="AM615" s="40"/>
      <c r="AN615" s="40"/>
      <c r="AO615" s="40"/>
      <c r="AP615" s="40"/>
    </row>
    <row r="616" spans="2:42" x14ac:dyDescent="0.2">
      <c r="B616" s="40"/>
      <c r="C616" s="40"/>
      <c r="D616" s="40"/>
      <c r="E616" s="40"/>
      <c r="F616" s="40"/>
      <c r="G616" s="40"/>
      <c r="H616" s="40"/>
      <c r="I616" s="40"/>
      <c r="J616" s="40"/>
      <c r="K616" s="40"/>
      <c r="L616" s="40"/>
      <c r="M616" s="40"/>
      <c r="N616" s="40"/>
      <c r="O616" s="40"/>
      <c r="P616" s="40"/>
      <c r="Q616" s="40"/>
      <c r="R616" s="40"/>
      <c r="S616" s="40"/>
      <c r="T616" s="40"/>
      <c r="U616" s="40"/>
      <c r="V616" s="40"/>
      <c r="W616" s="40"/>
      <c r="X616" s="40"/>
      <c r="Y616" s="40"/>
      <c r="Z616" s="40"/>
      <c r="AA616" s="40"/>
      <c r="AB616" s="40"/>
      <c r="AC616" s="40"/>
      <c r="AD616" s="40"/>
      <c r="AE616" s="40"/>
      <c r="AF616" s="40"/>
      <c r="AG616" s="40"/>
      <c r="AH616" s="40"/>
      <c r="AI616" s="40"/>
      <c r="AJ616" s="40"/>
      <c r="AK616" s="40"/>
      <c r="AL616" s="40"/>
      <c r="AM616" s="40"/>
      <c r="AN616" s="40"/>
      <c r="AO616" s="40"/>
      <c r="AP616" s="40"/>
    </row>
    <row r="617" spans="2:42" x14ac:dyDescent="0.2">
      <c r="B617" s="40"/>
      <c r="C617" s="40"/>
      <c r="D617" s="40"/>
      <c r="E617" s="40"/>
      <c r="F617" s="40"/>
      <c r="G617" s="40"/>
      <c r="H617" s="40"/>
      <c r="I617" s="40"/>
      <c r="J617" s="40"/>
      <c r="K617" s="40"/>
      <c r="L617" s="40"/>
      <c r="M617" s="40"/>
      <c r="N617" s="40"/>
      <c r="O617" s="40"/>
      <c r="P617" s="40"/>
      <c r="Q617" s="40"/>
      <c r="R617" s="40"/>
      <c r="S617" s="40"/>
      <c r="T617" s="40"/>
      <c r="U617" s="40"/>
      <c r="V617" s="40"/>
      <c r="W617" s="40"/>
      <c r="X617" s="40"/>
      <c r="Y617" s="40"/>
      <c r="Z617" s="40"/>
      <c r="AA617" s="40"/>
      <c r="AB617" s="40"/>
      <c r="AC617" s="40"/>
      <c r="AD617" s="40"/>
      <c r="AE617" s="40"/>
      <c r="AF617" s="40"/>
      <c r="AG617" s="40"/>
      <c r="AH617" s="40"/>
      <c r="AI617" s="40"/>
      <c r="AJ617" s="40"/>
      <c r="AK617" s="40"/>
      <c r="AL617" s="40"/>
      <c r="AM617" s="40"/>
      <c r="AN617" s="40"/>
      <c r="AO617" s="40"/>
      <c r="AP617" s="40"/>
    </row>
    <row r="618" spans="2:42" x14ac:dyDescent="0.2">
      <c r="B618" s="40"/>
      <c r="C618" s="40"/>
      <c r="D618" s="40"/>
      <c r="E618" s="40"/>
      <c r="F618" s="40"/>
      <c r="G618" s="40"/>
      <c r="H618" s="40"/>
      <c r="I618" s="40"/>
      <c r="J618" s="40"/>
      <c r="K618" s="40"/>
      <c r="L618" s="40"/>
      <c r="M618" s="40"/>
      <c r="N618" s="40"/>
      <c r="O618" s="40"/>
      <c r="P618" s="40"/>
      <c r="Q618" s="40"/>
      <c r="R618" s="40"/>
      <c r="S618" s="40"/>
      <c r="T618" s="40"/>
      <c r="U618" s="40"/>
      <c r="V618" s="40"/>
      <c r="W618" s="40"/>
      <c r="X618" s="40"/>
      <c r="Y618" s="40"/>
      <c r="Z618" s="40"/>
      <c r="AA618" s="40"/>
      <c r="AB618" s="40"/>
      <c r="AC618" s="40"/>
      <c r="AD618" s="40"/>
      <c r="AE618" s="40"/>
      <c r="AF618" s="40"/>
      <c r="AG618" s="40"/>
      <c r="AH618" s="40"/>
      <c r="AI618" s="40"/>
      <c r="AJ618" s="40"/>
      <c r="AK618" s="40"/>
      <c r="AL618" s="40"/>
      <c r="AM618" s="40"/>
      <c r="AN618" s="40"/>
      <c r="AO618" s="40"/>
      <c r="AP618" s="40"/>
    </row>
    <row r="619" spans="2:42" x14ac:dyDescent="0.2">
      <c r="B619" s="40"/>
      <c r="C619" s="40"/>
      <c r="D619" s="40"/>
      <c r="E619" s="40"/>
      <c r="F619" s="40"/>
      <c r="G619" s="40"/>
      <c r="H619" s="40"/>
      <c r="I619" s="40"/>
      <c r="J619" s="40"/>
      <c r="K619" s="40"/>
      <c r="L619" s="40"/>
      <c r="M619" s="40"/>
      <c r="N619" s="40"/>
      <c r="O619" s="40"/>
      <c r="P619" s="40"/>
      <c r="Q619" s="40"/>
      <c r="R619" s="40"/>
      <c r="S619" s="40"/>
      <c r="T619" s="40"/>
      <c r="U619" s="40"/>
      <c r="V619" s="40"/>
      <c r="W619" s="40"/>
      <c r="X619" s="40"/>
      <c r="Y619" s="40"/>
      <c r="Z619" s="40"/>
      <c r="AA619" s="40"/>
      <c r="AB619" s="40"/>
      <c r="AC619" s="40"/>
      <c r="AD619" s="40"/>
      <c r="AE619" s="40"/>
      <c r="AF619" s="40"/>
      <c r="AG619" s="40"/>
      <c r="AH619" s="40"/>
      <c r="AI619" s="40"/>
      <c r="AJ619" s="40"/>
      <c r="AK619" s="40"/>
      <c r="AL619" s="40"/>
      <c r="AM619" s="40"/>
      <c r="AN619" s="40"/>
      <c r="AO619" s="40"/>
      <c r="AP619" s="40"/>
    </row>
    <row r="620" spans="2:42" x14ac:dyDescent="0.2">
      <c r="B620" s="40"/>
      <c r="C620" s="40"/>
      <c r="D620" s="40"/>
      <c r="E620" s="40"/>
      <c r="F620" s="40"/>
      <c r="G620" s="40"/>
      <c r="H620" s="40"/>
      <c r="I620" s="40"/>
      <c r="J620" s="40"/>
      <c r="K620" s="40"/>
      <c r="L620" s="40"/>
      <c r="M620" s="40"/>
      <c r="N620" s="40"/>
      <c r="O620" s="40"/>
      <c r="P620" s="40"/>
      <c r="Q620" s="40"/>
      <c r="R620" s="40"/>
      <c r="S620" s="40"/>
      <c r="T620" s="40"/>
      <c r="U620" s="40"/>
      <c r="V620" s="40"/>
      <c r="W620" s="40"/>
      <c r="X620" s="40"/>
      <c r="Y620" s="40"/>
      <c r="Z620" s="40"/>
      <c r="AA620" s="40"/>
      <c r="AB620" s="40"/>
      <c r="AC620" s="40"/>
      <c r="AD620" s="40"/>
      <c r="AE620" s="40"/>
      <c r="AF620" s="40"/>
      <c r="AG620" s="40"/>
      <c r="AH620" s="40"/>
      <c r="AI620" s="40"/>
      <c r="AJ620" s="40"/>
      <c r="AK620" s="40"/>
      <c r="AL620" s="40"/>
      <c r="AM620" s="40"/>
      <c r="AN620" s="40"/>
      <c r="AO620" s="40"/>
      <c r="AP620" s="40"/>
    </row>
    <row r="621" spans="2:42" x14ac:dyDescent="0.2">
      <c r="B621" s="40"/>
      <c r="C621" s="40"/>
      <c r="D621" s="40"/>
      <c r="E621" s="40"/>
      <c r="F621" s="40"/>
      <c r="G621" s="40"/>
      <c r="H621" s="40"/>
      <c r="I621" s="40"/>
      <c r="J621" s="40"/>
      <c r="K621" s="40"/>
      <c r="L621" s="40"/>
      <c r="M621" s="40"/>
      <c r="N621" s="40"/>
      <c r="O621" s="40"/>
      <c r="P621" s="40"/>
      <c r="Q621" s="40"/>
      <c r="R621" s="40"/>
      <c r="S621" s="40"/>
      <c r="T621" s="40"/>
      <c r="U621" s="40"/>
      <c r="V621" s="40"/>
      <c r="W621" s="40"/>
      <c r="X621" s="40"/>
      <c r="Y621" s="40"/>
      <c r="Z621" s="40"/>
      <c r="AA621" s="40"/>
      <c r="AB621" s="40"/>
      <c r="AC621" s="40"/>
      <c r="AD621" s="40"/>
      <c r="AE621" s="40"/>
      <c r="AF621" s="40"/>
      <c r="AG621" s="40"/>
      <c r="AH621" s="40"/>
      <c r="AI621" s="40"/>
      <c r="AJ621" s="40"/>
      <c r="AK621" s="40"/>
      <c r="AL621" s="40"/>
      <c r="AM621" s="40"/>
      <c r="AN621" s="40"/>
      <c r="AO621" s="40"/>
      <c r="AP621" s="40"/>
    </row>
    <row r="622" spans="2:42" x14ac:dyDescent="0.2">
      <c r="B622" s="40"/>
      <c r="C622" s="40"/>
      <c r="D622" s="40"/>
      <c r="E622" s="40"/>
      <c r="F622" s="40"/>
      <c r="G622" s="40"/>
      <c r="H622" s="40"/>
      <c r="I622" s="40"/>
      <c r="J622" s="40"/>
      <c r="K622" s="40"/>
      <c r="L622" s="40"/>
      <c r="M622" s="40"/>
      <c r="N622" s="40"/>
      <c r="O622" s="40"/>
      <c r="P622" s="40"/>
      <c r="Q622" s="40"/>
      <c r="R622" s="40"/>
      <c r="S622" s="40"/>
      <c r="T622" s="40"/>
      <c r="U622" s="40"/>
      <c r="V622" s="40"/>
      <c r="W622" s="40"/>
      <c r="X622" s="40"/>
      <c r="Y622" s="40"/>
      <c r="Z622" s="40"/>
      <c r="AA622" s="40"/>
      <c r="AB622" s="40"/>
      <c r="AC622" s="40"/>
      <c r="AD622" s="40"/>
      <c r="AE622" s="40"/>
      <c r="AF622" s="40"/>
      <c r="AG622" s="40"/>
      <c r="AH622" s="40"/>
      <c r="AI622" s="40"/>
      <c r="AJ622" s="40"/>
      <c r="AK622" s="40"/>
      <c r="AL622" s="40"/>
      <c r="AM622" s="40"/>
      <c r="AN622" s="40"/>
      <c r="AO622" s="40"/>
      <c r="AP622" s="40"/>
    </row>
    <row r="623" spans="2:42" x14ac:dyDescent="0.2">
      <c r="B623" s="40"/>
      <c r="C623" s="40"/>
      <c r="D623" s="40"/>
      <c r="E623" s="40"/>
      <c r="F623" s="40"/>
      <c r="G623" s="40"/>
      <c r="H623" s="40"/>
      <c r="I623" s="40"/>
      <c r="J623" s="40"/>
      <c r="K623" s="40"/>
      <c r="L623" s="40"/>
      <c r="M623" s="40"/>
      <c r="N623" s="40"/>
      <c r="O623" s="40"/>
      <c r="P623" s="40"/>
      <c r="Q623" s="40"/>
      <c r="R623" s="40"/>
      <c r="S623" s="40"/>
      <c r="T623" s="40"/>
      <c r="U623" s="40"/>
      <c r="V623" s="40"/>
      <c r="W623" s="40"/>
      <c r="X623" s="40"/>
      <c r="Y623" s="40"/>
      <c r="Z623" s="40"/>
      <c r="AA623" s="40"/>
      <c r="AB623" s="40"/>
      <c r="AC623" s="40"/>
      <c r="AD623" s="40"/>
      <c r="AE623" s="40"/>
      <c r="AF623" s="40"/>
      <c r="AG623" s="40"/>
      <c r="AH623" s="40"/>
      <c r="AI623" s="40"/>
      <c r="AJ623" s="40"/>
      <c r="AK623" s="40"/>
      <c r="AL623" s="40"/>
      <c r="AM623" s="40"/>
      <c r="AN623" s="40"/>
      <c r="AO623" s="40"/>
      <c r="AP623" s="40"/>
    </row>
    <row r="624" spans="2:42" x14ac:dyDescent="0.2">
      <c r="B624" s="40"/>
      <c r="C624" s="40"/>
      <c r="D624" s="40"/>
      <c r="E624" s="40"/>
      <c r="F624" s="40"/>
      <c r="G624" s="40"/>
      <c r="H624" s="40"/>
      <c r="I624" s="40"/>
      <c r="J624" s="40"/>
      <c r="K624" s="40"/>
      <c r="L624" s="40"/>
      <c r="M624" s="40"/>
      <c r="N624" s="40"/>
      <c r="O624" s="40"/>
      <c r="P624" s="40"/>
      <c r="Q624" s="40"/>
      <c r="R624" s="40"/>
      <c r="S624" s="40"/>
      <c r="T624" s="40"/>
      <c r="U624" s="40"/>
      <c r="V624" s="40"/>
      <c r="W624" s="40"/>
      <c r="X624" s="40"/>
      <c r="Y624" s="40"/>
      <c r="Z624" s="40"/>
      <c r="AA624" s="40"/>
      <c r="AB624" s="40"/>
      <c r="AC624" s="40"/>
      <c r="AD624" s="40"/>
      <c r="AE624" s="40"/>
      <c r="AF624" s="40"/>
      <c r="AG624" s="40"/>
      <c r="AH624" s="40"/>
      <c r="AI624" s="40"/>
      <c r="AJ624" s="40"/>
      <c r="AK624" s="40"/>
      <c r="AL624" s="40"/>
      <c r="AM624" s="40"/>
      <c r="AN624" s="40"/>
      <c r="AO624" s="40"/>
      <c r="AP624" s="40"/>
    </row>
    <row r="625" spans="2:42" x14ac:dyDescent="0.2">
      <c r="B625" s="40"/>
      <c r="C625" s="40"/>
      <c r="D625" s="40"/>
      <c r="E625" s="40"/>
      <c r="F625" s="40"/>
      <c r="G625" s="40"/>
      <c r="H625" s="40"/>
      <c r="I625" s="40"/>
      <c r="J625" s="40"/>
      <c r="K625" s="40"/>
      <c r="L625" s="40"/>
      <c r="M625" s="40"/>
      <c r="N625" s="40"/>
      <c r="O625" s="40"/>
      <c r="P625" s="40"/>
      <c r="Q625" s="40"/>
      <c r="R625" s="40"/>
      <c r="S625" s="40"/>
      <c r="T625" s="40"/>
      <c r="U625" s="40"/>
      <c r="V625" s="40"/>
      <c r="W625" s="40"/>
      <c r="X625" s="40"/>
      <c r="Y625" s="40"/>
      <c r="Z625" s="40"/>
      <c r="AA625" s="40"/>
      <c r="AB625" s="40"/>
      <c r="AC625" s="40"/>
      <c r="AD625" s="40"/>
      <c r="AE625" s="40"/>
      <c r="AF625" s="40"/>
      <c r="AG625" s="40"/>
      <c r="AH625" s="40"/>
      <c r="AI625" s="40"/>
      <c r="AJ625" s="40"/>
      <c r="AK625" s="40"/>
      <c r="AL625" s="40"/>
      <c r="AM625" s="40"/>
      <c r="AN625" s="40"/>
      <c r="AO625" s="40"/>
      <c r="AP625" s="40"/>
    </row>
    <row r="626" spans="2:42" x14ac:dyDescent="0.2">
      <c r="B626" s="40"/>
      <c r="C626" s="40"/>
      <c r="D626" s="40"/>
      <c r="E626" s="40"/>
      <c r="F626" s="40"/>
      <c r="G626" s="40"/>
      <c r="H626" s="40"/>
      <c r="I626" s="40"/>
      <c r="J626" s="40"/>
      <c r="K626" s="40"/>
      <c r="L626" s="40"/>
      <c r="M626" s="40"/>
      <c r="N626" s="40"/>
      <c r="O626" s="40"/>
      <c r="P626" s="40"/>
      <c r="Q626" s="40"/>
      <c r="R626" s="40"/>
      <c r="S626" s="40"/>
      <c r="T626" s="40"/>
      <c r="U626" s="40"/>
      <c r="V626" s="40"/>
      <c r="W626" s="40"/>
      <c r="X626" s="40"/>
      <c r="Y626" s="40"/>
      <c r="Z626" s="40"/>
      <c r="AA626" s="40"/>
      <c r="AB626" s="40"/>
      <c r="AC626" s="40"/>
      <c r="AD626" s="40"/>
      <c r="AE626" s="40"/>
      <c r="AF626" s="40"/>
      <c r="AG626" s="40"/>
      <c r="AH626" s="40"/>
      <c r="AI626" s="40"/>
      <c r="AJ626" s="40"/>
      <c r="AK626" s="40"/>
      <c r="AL626" s="40"/>
      <c r="AM626" s="40"/>
      <c r="AN626" s="40"/>
      <c r="AO626" s="40"/>
      <c r="AP626" s="40"/>
    </row>
    <row r="627" spans="2:42" x14ac:dyDescent="0.2">
      <c r="B627" s="40"/>
      <c r="C627" s="40"/>
      <c r="D627" s="40"/>
      <c r="E627" s="40"/>
      <c r="F627" s="40"/>
      <c r="G627" s="40"/>
      <c r="H627" s="40"/>
      <c r="I627" s="40"/>
      <c r="J627" s="40"/>
      <c r="K627" s="40"/>
      <c r="L627" s="40"/>
      <c r="M627" s="40"/>
      <c r="N627" s="40"/>
      <c r="O627" s="40"/>
      <c r="P627" s="40"/>
      <c r="Q627" s="40"/>
      <c r="R627" s="40"/>
      <c r="S627" s="40"/>
      <c r="T627" s="40"/>
      <c r="U627" s="40"/>
      <c r="V627" s="40"/>
      <c r="W627" s="40"/>
      <c r="X627" s="40"/>
      <c r="Y627" s="40"/>
      <c r="Z627" s="40"/>
      <c r="AA627" s="40"/>
      <c r="AB627" s="40"/>
      <c r="AC627" s="40"/>
      <c r="AD627" s="40"/>
      <c r="AE627" s="40"/>
      <c r="AF627" s="40"/>
      <c r="AG627" s="40"/>
      <c r="AH627" s="40"/>
      <c r="AI627" s="40"/>
      <c r="AJ627" s="40"/>
      <c r="AK627" s="40"/>
      <c r="AL627" s="40"/>
      <c r="AM627" s="40"/>
      <c r="AN627" s="40"/>
      <c r="AO627" s="40"/>
      <c r="AP627" s="40"/>
    </row>
    <row r="628" spans="2:42" x14ac:dyDescent="0.2">
      <c r="B628" s="40"/>
      <c r="C628" s="40"/>
      <c r="D628" s="40"/>
      <c r="E628" s="40"/>
      <c r="F628" s="40"/>
      <c r="G628" s="40"/>
      <c r="H628" s="40"/>
      <c r="I628" s="40"/>
      <c r="J628" s="40"/>
      <c r="K628" s="40"/>
      <c r="L628" s="40"/>
      <c r="M628" s="40"/>
      <c r="N628" s="40"/>
      <c r="O628" s="40"/>
      <c r="P628" s="40"/>
      <c r="Q628" s="40"/>
      <c r="R628" s="40"/>
      <c r="S628" s="40"/>
      <c r="T628" s="40"/>
      <c r="U628" s="40"/>
      <c r="V628" s="40"/>
      <c r="W628" s="40"/>
      <c r="X628" s="40"/>
      <c r="Y628" s="40"/>
      <c r="Z628" s="40"/>
      <c r="AA628" s="40"/>
      <c r="AB628" s="40"/>
      <c r="AC628" s="40"/>
      <c r="AD628" s="40"/>
      <c r="AE628" s="40"/>
      <c r="AF628" s="40"/>
      <c r="AG628" s="40"/>
      <c r="AH628" s="40"/>
      <c r="AI628" s="40"/>
      <c r="AJ628" s="40"/>
      <c r="AK628" s="40"/>
      <c r="AL628" s="40"/>
      <c r="AM628" s="40"/>
      <c r="AN628" s="40"/>
      <c r="AO628" s="40"/>
      <c r="AP628" s="40"/>
    </row>
    <row r="629" spans="2:42" x14ac:dyDescent="0.2">
      <c r="B629" s="40"/>
      <c r="C629" s="40"/>
      <c r="D629" s="40"/>
      <c r="E629" s="40"/>
      <c r="F629" s="40"/>
      <c r="G629" s="40"/>
      <c r="H629" s="40"/>
      <c r="I629" s="40"/>
      <c r="J629" s="40"/>
      <c r="K629" s="40"/>
      <c r="L629" s="40"/>
      <c r="M629" s="40"/>
      <c r="N629" s="40"/>
      <c r="O629" s="40"/>
      <c r="P629" s="40"/>
      <c r="Q629" s="40"/>
      <c r="R629" s="40"/>
      <c r="S629" s="40"/>
      <c r="T629" s="40"/>
      <c r="U629" s="40"/>
      <c r="V629" s="40"/>
      <c r="W629" s="40"/>
      <c r="X629" s="40"/>
      <c r="Y629" s="40"/>
      <c r="Z629" s="40"/>
      <c r="AA629" s="40"/>
      <c r="AB629" s="40"/>
      <c r="AC629" s="40"/>
      <c r="AD629" s="40"/>
      <c r="AE629" s="40"/>
      <c r="AF629" s="40"/>
      <c r="AG629" s="40"/>
      <c r="AH629" s="40"/>
      <c r="AI629" s="40"/>
      <c r="AJ629" s="40"/>
      <c r="AK629" s="40"/>
      <c r="AL629" s="40"/>
      <c r="AM629" s="40"/>
      <c r="AN629" s="40"/>
      <c r="AO629" s="40"/>
      <c r="AP629" s="40"/>
    </row>
    <row r="630" spans="2:42" x14ac:dyDescent="0.2">
      <c r="B630" s="40"/>
      <c r="C630" s="40"/>
      <c r="D630" s="40"/>
      <c r="E630" s="40"/>
      <c r="F630" s="40"/>
      <c r="G630" s="40"/>
      <c r="H630" s="40"/>
      <c r="I630" s="40"/>
      <c r="J630" s="40"/>
      <c r="K630" s="40"/>
      <c r="L630" s="40"/>
      <c r="M630" s="40"/>
      <c r="N630" s="40"/>
      <c r="O630" s="40"/>
      <c r="P630" s="40"/>
      <c r="Q630" s="40"/>
      <c r="R630" s="40"/>
      <c r="S630" s="40"/>
      <c r="T630" s="40"/>
      <c r="U630" s="40"/>
      <c r="V630" s="40"/>
      <c r="W630" s="40"/>
      <c r="X630" s="40"/>
      <c r="Y630" s="40"/>
      <c r="Z630" s="40"/>
      <c r="AA630" s="40"/>
      <c r="AB630" s="40"/>
      <c r="AC630" s="40"/>
      <c r="AD630" s="40"/>
      <c r="AE630" s="40"/>
      <c r="AF630" s="40"/>
      <c r="AG630" s="40"/>
      <c r="AH630" s="40"/>
      <c r="AI630" s="40"/>
      <c r="AJ630" s="40"/>
      <c r="AK630" s="40"/>
      <c r="AL630" s="40"/>
      <c r="AM630" s="40"/>
      <c r="AN630" s="40"/>
      <c r="AO630" s="40"/>
      <c r="AP630" s="40"/>
    </row>
    <row r="631" spans="2:42" x14ac:dyDescent="0.2">
      <c r="B631" s="40"/>
      <c r="C631" s="40"/>
      <c r="D631" s="40"/>
      <c r="E631" s="40"/>
      <c r="F631" s="40"/>
      <c r="G631" s="40"/>
      <c r="H631" s="40"/>
      <c r="I631" s="40"/>
      <c r="J631" s="40"/>
      <c r="K631" s="40"/>
      <c r="L631" s="40"/>
      <c r="M631" s="40"/>
      <c r="N631" s="40"/>
      <c r="O631" s="40"/>
      <c r="P631" s="40"/>
      <c r="Q631" s="40"/>
      <c r="R631" s="40"/>
      <c r="S631" s="40"/>
      <c r="T631" s="40"/>
      <c r="U631" s="40"/>
      <c r="V631" s="40"/>
      <c r="W631" s="40"/>
      <c r="X631" s="40"/>
      <c r="Y631" s="40"/>
      <c r="Z631" s="40"/>
      <c r="AA631" s="40"/>
      <c r="AB631" s="40"/>
      <c r="AC631" s="40"/>
      <c r="AD631" s="40"/>
      <c r="AE631" s="40"/>
      <c r="AF631" s="40"/>
      <c r="AG631" s="40"/>
      <c r="AH631" s="40"/>
      <c r="AI631" s="40"/>
      <c r="AJ631" s="40"/>
      <c r="AK631" s="40"/>
      <c r="AL631" s="40"/>
      <c r="AM631" s="40"/>
      <c r="AN631" s="40"/>
      <c r="AO631" s="40"/>
      <c r="AP631" s="40"/>
    </row>
    <row r="632" spans="2:42" x14ac:dyDescent="0.2">
      <c r="B632" s="40"/>
      <c r="C632" s="40"/>
      <c r="D632" s="40"/>
      <c r="E632" s="40"/>
      <c r="F632" s="40"/>
      <c r="G632" s="40"/>
      <c r="H632" s="40"/>
      <c r="I632" s="40"/>
      <c r="J632" s="40"/>
      <c r="K632" s="40"/>
      <c r="L632" s="40"/>
      <c r="M632" s="40"/>
      <c r="N632" s="40"/>
      <c r="O632" s="40"/>
      <c r="P632" s="40"/>
      <c r="Q632" s="40"/>
      <c r="R632" s="40"/>
      <c r="S632" s="40"/>
      <c r="T632" s="40"/>
      <c r="U632" s="40"/>
      <c r="V632" s="40"/>
      <c r="W632" s="40"/>
      <c r="X632" s="40"/>
      <c r="Y632" s="40"/>
      <c r="Z632" s="40"/>
      <c r="AA632" s="40"/>
      <c r="AB632" s="40"/>
      <c r="AC632" s="40"/>
      <c r="AD632" s="40"/>
      <c r="AE632" s="40"/>
      <c r="AF632" s="40"/>
      <c r="AG632" s="40"/>
      <c r="AH632" s="40"/>
      <c r="AI632" s="40"/>
      <c r="AJ632" s="40"/>
      <c r="AK632" s="40"/>
      <c r="AL632" s="40"/>
      <c r="AM632" s="40"/>
      <c r="AN632" s="40"/>
      <c r="AO632" s="40"/>
      <c r="AP632" s="40"/>
    </row>
    <row r="633" spans="2:42" x14ac:dyDescent="0.2">
      <c r="B633" s="40"/>
      <c r="C633" s="40"/>
      <c r="D633" s="40"/>
      <c r="E633" s="40"/>
      <c r="F633" s="40"/>
      <c r="G633" s="40"/>
      <c r="H633" s="40"/>
      <c r="I633" s="40"/>
      <c r="J633" s="40"/>
      <c r="K633" s="40"/>
      <c r="L633" s="40"/>
      <c r="M633" s="40"/>
      <c r="N633" s="40"/>
      <c r="O633" s="40"/>
      <c r="P633" s="40"/>
      <c r="Q633" s="40"/>
      <c r="R633" s="40"/>
      <c r="S633" s="40"/>
      <c r="T633" s="40"/>
      <c r="U633" s="40"/>
      <c r="V633" s="40"/>
      <c r="W633" s="40"/>
      <c r="X633" s="40"/>
      <c r="Y633" s="40"/>
      <c r="Z633" s="40"/>
      <c r="AA633" s="40"/>
      <c r="AB633" s="40"/>
      <c r="AC633" s="40"/>
      <c r="AD633" s="40"/>
      <c r="AE633" s="40"/>
      <c r="AF633" s="40"/>
      <c r="AG633" s="40"/>
      <c r="AH633" s="40"/>
      <c r="AI633" s="40"/>
      <c r="AJ633" s="40"/>
      <c r="AK633" s="40"/>
      <c r="AL633" s="40"/>
      <c r="AM633" s="40"/>
      <c r="AN633" s="40"/>
      <c r="AO633" s="40"/>
      <c r="AP633" s="40"/>
    </row>
    <row r="634" spans="2:42" x14ac:dyDescent="0.2">
      <c r="B634" s="40"/>
      <c r="C634" s="40"/>
      <c r="D634" s="40"/>
      <c r="E634" s="40"/>
      <c r="F634" s="40"/>
      <c r="G634" s="40"/>
      <c r="H634" s="40"/>
      <c r="I634" s="40"/>
      <c r="J634" s="40"/>
      <c r="K634" s="40"/>
      <c r="L634" s="40"/>
      <c r="M634" s="40"/>
      <c r="N634" s="40"/>
      <c r="O634" s="40"/>
      <c r="P634" s="40"/>
      <c r="Q634" s="40"/>
      <c r="R634" s="40"/>
      <c r="S634" s="40"/>
      <c r="T634" s="40"/>
      <c r="U634" s="40"/>
      <c r="V634" s="40"/>
      <c r="W634" s="40"/>
      <c r="X634" s="40"/>
      <c r="Y634" s="40"/>
      <c r="Z634" s="40"/>
      <c r="AA634" s="40"/>
      <c r="AB634" s="40"/>
      <c r="AC634" s="40"/>
      <c r="AD634" s="40"/>
      <c r="AE634" s="40"/>
      <c r="AF634" s="40"/>
      <c r="AG634" s="40"/>
      <c r="AH634" s="40"/>
      <c r="AI634" s="40"/>
      <c r="AJ634" s="40"/>
      <c r="AK634" s="40"/>
      <c r="AL634" s="40"/>
      <c r="AM634" s="40"/>
      <c r="AN634" s="40"/>
      <c r="AO634" s="40"/>
      <c r="AP634" s="40"/>
    </row>
    <row r="635" spans="2:42" x14ac:dyDescent="0.2">
      <c r="B635" s="40"/>
      <c r="C635" s="40"/>
      <c r="D635" s="40"/>
      <c r="E635" s="40"/>
      <c r="F635" s="40"/>
      <c r="G635" s="40"/>
      <c r="H635" s="40"/>
      <c r="I635" s="40"/>
      <c r="J635" s="40"/>
      <c r="K635" s="40"/>
      <c r="L635" s="40"/>
      <c r="M635" s="40"/>
      <c r="N635" s="40"/>
      <c r="O635" s="40"/>
      <c r="P635" s="40"/>
      <c r="Q635" s="40"/>
      <c r="R635" s="40"/>
      <c r="S635" s="40"/>
      <c r="T635" s="40"/>
      <c r="U635" s="40"/>
      <c r="V635" s="40"/>
      <c r="W635" s="40"/>
      <c r="X635" s="40"/>
      <c r="Y635" s="40"/>
      <c r="Z635" s="40"/>
      <c r="AA635" s="40"/>
      <c r="AB635" s="40"/>
      <c r="AC635" s="40"/>
      <c r="AD635" s="40"/>
      <c r="AE635" s="40"/>
      <c r="AF635" s="40"/>
      <c r="AG635" s="40"/>
      <c r="AH635" s="40"/>
      <c r="AI635" s="40"/>
      <c r="AJ635" s="40"/>
      <c r="AK635" s="40"/>
      <c r="AL635" s="40"/>
      <c r="AM635" s="40"/>
      <c r="AN635" s="40"/>
      <c r="AO635" s="40"/>
      <c r="AP635" s="40"/>
    </row>
    <row r="636" spans="2:42" x14ac:dyDescent="0.2">
      <c r="B636" s="40"/>
      <c r="C636" s="40"/>
      <c r="D636" s="40"/>
      <c r="E636" s="40"/>
      <c r="F636" s="40"/>
      <c r="G636" s="40"/>
      <c r="H636" s="40"/>
      <c r="I636" s="40"/>
      <c r="J636" s="40"/>
      <c r="K636" s="40"/>
      <c r="L636" s="40"/>
      <c r="M636" s="40"/>
      <c r="N636" s="40"/>
      <c r="O636" s="40"/>
      <c r="P636" s="40"/>
      <c r="Q636" s="40"/>
      <c r="R636" s="40"/>
      <c r="S636" s="40"/>
      <c r="T636" s="40"/>
      <c r="U636" s="40"/>
      <c r="V636" s="40"/>
      <c r="W636" s="40"/>
      <c r="X636" s="40"/>
      <c r="Y636" s="40"/>
      <c r="Z636" s="40"/>
      <c r="AA636" s="40"/>
      <c r="AB636" s="40"/>
      <c r="AC636" s="40"/>
      <c r="AD636" s="40"/>
      <c r="AE636" s="40"/>
      <c r="AF636" s="40"/>
      <c r="AG636" s="40"/>
      <c r="AH636" s="40"/>
      <c r="AI636" s="40"/>
      <c r="AJ636" s="40"/>
      <c r="AK636" s="40"/>
      <c r="AL636" s="40"/>
      <c r="AM636" s="40"/>
      <c r="AN636" s="40"/>
      <c r="AO636" s="40"/>
      <c r="AP636" s="40"/>
    </row>
    <row r="637" spans="2:42" x14ac:dyDescent="0.2">
      <c r="B637" s="40"/>
      <c r="C637" s="40"/>
      <c r="D637" s="40"/>
      <c r="E637" s="40"/>
      <c r="F637" s="40"/>
      <c r="G637" s="40"/>
      <c r="H637" s="40"/>
      <c r="I637" s="40"/>
      <c r="J637" s="40"/>
      <c r="K637" s="40"/>
      <c r="L637" s="40"/>
      <c r="M637" s="40"/>
      <c r="N637" s="40"/>
      <c r="O637" s="40"/>
      <c r="P637" s="40"/>
      <c r="Q637" s="40"/>
      <c r="R637" s="40"/>
      <c r="S637" s="40"/>
      <c r="T637" s="40"/>
      <c r="U637" s="40"/>
      <c r="V637" s="40"/>
      <c r="W637" s="40"/>
      <c r="X637" s="40"/>
      <c r="Y637" s="40"/>
      <c r="Z637" s="40"/>
      <c r="AA637" s="40"/>
      <c r="AB637" s="40"/>
      <c r="AC637" s="40"/>
      <c r="AD637" s="40"/>
      <c r="AE637" s="40"/>
      <c r="AF637" s="40"/>
      <c r="AG637" s="40"/>
      <c r="AH637" s="40"/>
      <c r="AI637" s="40"/>
      <c r="AJ637" s="40"/>
      <c r="AK637" s="40"/>
      <c r="AL637" s="40"/>
      <c r="AM637" s="40"/>
      <c r="AN637" s="40"/>
      <c r="AO637" s="40"/>
      <c r="AP637" s="40"/>
    </row>
    <row r="638" spans="2:42" x14ac:dyDescent="0.2">
      <c r="B638" s="40"/>
      <c r="C638" s="40"/>
      <c r="D638" s="40"/>
      <c r="E638" s="40"/>
      <c r="F638" s="40"/>
      <c r="G638" s="40"/>
      <c r="H638" s="40"/>
      <c r="I638" s="40"/>
      <c r="J638" s="40"/>
      <c r="K638" s="40"/>
      <c r="L638" s="40"/>
      <c r="M638" s="40"/>
      <c r="N638" s="40"/>
      <c r="O638" s="40"/>
      <c r="P638" s="40"/>
      <c r="Q638" s="40"/>
      <c r="R638" s="40"/>
      <c r="S638" s="40"/>
      <c r="T638" s="40"/>
      <c r="U638" s="40"/>
      <c r="V638" s="40"/>
      <c r="W638" s="40"/>
      <c r="X638" s="40"/>
      <c r="Y638" s="40"/>
      <c r="Z638" s="40"/>
      <c r="AA638" s="40"/>
      <c r="AB638" s="40"/>
      <c r="AC638" s="40"/>
      <c r="AD638" s="40"/>
      <c r="AE638" s="40"/>
      <c r="AF638" s="40"/>
      <c r="AG638" s="40"/>
      <c r="AH638" s="40"/>
      <c r="AI638" s="40"/>
      <c r="AJ638" s="40"/>
      <c r="AK638" s="40"/>
      <c r="AL638" s="40"/>
      <c r="AM638" s="40"/>
      <c r="AN638" s="40"/>
      <c r="AO638" s="40"/>
      <c r="AP638" s="40"/>
    </row>
    <row r="639" spans="2:42" x14ac:dyDescent="0.2">
      <c r="B639" s="40"/>
      <c r="C639" s="40"/>
      <c r="D639" s="40"/>
      <c r="E639" s="40"/>
      <c r="F639" s="40"/>
      <c r="G639" s="40"/>
      <c r="H639" s="40"/>
      <c r="I639" s="40"/>
      <c r="J639" s="40"/>
      <c r="K639" s="40"/>
      <c r="L639" s="40"/>
      <c r="M639" s="40"/>
      <c r="N639" s="40"/>
      <c r="O639" s="40"/>
      <c r="P639" s="40"/>
      <c r="Q639" s="40"/>
      <c r="R639" s="40"/>
      <c r="S639" s="40"/>
      <c r="T639" s="40"/>
      <c r="U639" s="40"/>
      <c r="V639" s="40"/>
      <c r="W639" s="40"/>
      <c r="X639" s="40"/>
      <c r="Y639" s="40"/>
      <c r="Z639" s="40"/>
      <c r="AA639" s="40"/>
      <c r="AB639" s="40"/>
      <c r="AC639" s="40"/>
      <c r="AD639" s="40"/>
      <c r="AE639" s="40"/>
      <c r="AF639" s="40"/>
      <c r="AG639" s="40"/>
      <c r="AH639" s="40"/>
      <c r="AI639" s="40"/>
      <c r="AJ639" s="40"/>
      <c r="AK639" s="40"/>
      <c r="AL639" s="40"/>
      <c r="AM639" s="40"/>
      <c r="AN639" s="40"/>
      <c r="AO639" s="40"/>
      <c r="AP639" s="40"/>
    </row>
    <row r="640" spans="2:42" x14ac:dyDescent="0.2">
      <c r="B640" s="40"/>
      <c r="C640" s="40"/>
      <c r="D640" s="40"/>
      <c r="E640" s="40"/>
      <c r="F640" s="40"/>
      <c r="G640" s="40"/>
      <c r="H640" s="40"/>
      <c r="I640" s="40"/>
      <c r="J640" s="40"/>
      <c r="K640" s="40"/>
      <c r="L640" s="40"/>
      <c r="M640" s="40"/>
      <c r="N640" s="40"/>
      <c r="O640" s="40"/>
      <c r="P640" s="40"/>
      <c r="Q640" s="40"/>
      <c r="R640" s="40"/>
      <c r="S640" s="40"/>
      <c r="T640" s="40"/>
      <c r="U640" s="40"/>
      <c r="V640" s="40"/>
      <c r="W640" s="40"/>
      <c r="X640" s="40"/>
      <c r="Y640" s="40"/>
      <c r="Z640" s="40"/>
      <c r="AA640" s="40"/>
      <c r="AB640" s="40"/>
      <c r="AC640" s="40"/>
      <c r="AD640" s="40"/>
      <c r="AE640" s="40"/>
      <c r="AF640" s="40"/>
      <c r="AG640" s="40"/>
      <c r="AH640" s="40"/>
      <c r="AI640" s="40"/>
      <c r="AJ640" s="40"/>
      <c r="AK640" s="40"/>
      <c r="AL640" s="40"/>
      <c r="AM640" s="40"/>
      <c r="AN640" s="40"/>
      <c r="AO640" s="40"/>
      <c r="AP640" s="40"/>
    </row>
    <row r="641" spans="2:42" x14ac:dyDescent="0.2">
      <c r="B641" s="40"/>
      <c r="C641" s="40"/>
      <c r="D641" s="40"/>
      <c r="E641" s="40"/>
      <c r="F641" s="40"/>
      <c r="G641" s="40"/>
      <c r="H641" s="40"/>
      <c r="I641" s="40"/>
      <c r="J641" s="40"/>
      <c r="K641" s="40"/>
      <c r="L641" s="40"/>
      <c r="M641" s="40"/>
      <c r="N641" s="40"/>
      <c r="O641" s="40"/>
      <c r="P641" s="40"/>
      <c r="Q641" s="40"/>
      <c r="R641" s="40"/>
      <c r="S641" s="40"/>
      <c r="T641" s="40"/>
      <c r="U641" s="40"/>
      <c r="V641" s="40"/>
      <c r="W641" s="40"/>
      <c r="X641" s="40"/>
      <c r="Y641" s="40"/>
      <c r="Z641" s="40"/>
      <c r="AA641" s="40"/>
      <c r="AB641" s="40"/>
      <c r="AC641" s="40"/>
      <c r="AD641" s="40"/>
      <c r="AE641" s="40"/>
      <c r="AF641" s="40"/>
      <c r="AG641" s="40"/>
      <c r="AH641" s="40"/>
      <c r="AI641" s="40"/>
      <c r="AJ641" s="40"/>
      <c r="AK641" s="40"/>
      <c r="AL641" s="40"/>
      <c r="AM641" s="40"/>
      <c r="AN641" s="40"/>
      <c r="AO641" s="40"/>
      <c r="AP641" s="40"/>
    </row>
    <row r="642" spans="2:42" x14ac:dyDescent="0.2">
      <c r="B642" s="40"/>
      <c r="C642" s="40"/>
      <c r="D642" s="40"/>
      <c r="E642" s="40"/>
      <c r="F642" s="40"/>
      <c r="G642" s="40"/>
      <c r="H642" s="40"/>
      <c r="I642" s="40"/>
      <c r="J642" s="40"/>
      <c r="K642" s="40"/>
      <c r="L642" s="40"/>
      <c r="M642" s="40"/>
      <c r="N642" s="40"/>
      <c r="O642" s="40"/>
      <c r="P642" s="40"/>
      <c r="Q642" s="40"/>
      <c r="R642" s="40"/>
      <c r="S642" s="40"/>
      <c r="T642" s="40"/>
      <c r="U642" s="40"/>
      <c r="V642" s="40"/>
      <c r="W642" s="40"/>
      <c r="X642" s="40"/>
      <c r="Y642" s="40"/>
      <c r="Z642" s="40"/>
      <c r="AA642" s="40"/>
      <c r="AB642" s="40"/>
      <c r="AC642" s="40"/>
      <c r="AD642" s="40"/>
      <c r="AE642" s="40"/>
      <c r="AF642" s="40"/>
      <c r="AG642" s="40"/>
      <c r="AH642" s="40"/>
      <c r="AI642" s="40"/>
      <c r="AJ642" s="40"/>
      <c r="AK642" s="40"/>
      <c r="AL642" s="40"/>
      <c r="AM642" s="40"/>
      <c r="AN642" s="40"/>
      <c r="AO642" s="40"/>
      <c r="AP642" s="40"/>
    </row>
    <row r="643" spans="2:42" x14ac:dyDescent="0.2">
      <c r="B643" s="40"/>
      <c r="C643" s="40"/>
      <c r="D643" s="40"/>
      <c r="E643" s="40"/>
      <c r="F643" s="40"/>
      <c r="G643" s="40"/>
      <c r="H643" s="40"/>
      <c r="I643" s="40"/>
      <c r="J643" s="40"/>
      <c r="K643" s="40"/>
      <c r="L643" s="40"/>
      <c r="M643" s="40"/>
      <c r="N643" s="40"/>
      <c r="O643" s="40"/>
      <c r="P643" s="40"/>
      <c r="Q643" s="40"/>
      <c r="R643" s="40"/>
      <c r="S643" s="40"/>
      <c r="T643" s="40"/>
      <c r="U643" s="40"/>
      <c r="V643" s="40"/>
      <c r="W643" s="40"/>
      <c r="X643" s="40"/>
      <c r="Y643" s="40"/>
      <c r="Z643" s="40"/>
      <c r="AA643" s="40"/>
      <c r="AB643" s="40"/>
      <c r="AC643" s="40"/>
      <c r="AD643" s="40"/>
      <c r="AE643" s="40"/>
      <c r="AF643" s="40"/>
      <c r="AG643" s="40"/>
      <c r="AH643" s="40"/>
      <c r="AI643" s="40"/>
      <c r="AJ643" s="40"/>
      <c r="AK643" s="40"/>
      <c r="AL643" s="40"/>
      <c r="AM643" s="40"/>
      <c r="AN643" s="40"/>
      <c r="AO643" s="40"/>
      <c r="AP643" s="40"/>
    </row>
    <row r="644" spans="2:42" x14ac:dyDescent="0.2">
      <c r="B644" s="40"/>
      <c r="C644" s="40"/>
      <c r="D644" s="40"/>
      <c r="E644" s="40"/>
      <c r="F644" s="40"/>
      <c r="G644" s="40"/>
      <c r="H644" s="40"/>
      <c r="I644" s="40"/>
      <c r="J644" s="40"/>
      <c r="K644" s="40"/>
      <c r="L644" s="40"/>
      <c r="M644" s="40"/>
      <c r="N644" s="40"/>
      <c r="O644" s="40"/>
      <c r="P644" s="40"/>
      <c r="Q644" s="40"/>
      <c r="R644" s="40"/>
      <c r="S644" s="40"/>
      <c r="T644" s="40"/>
      <c r="U644" s="40"/>
      <c r="V644" s="40"/>
      <c r="W644" s="40"/>
      <c r="X644" s="40"/>
      <c r="Y644" s="40"/>
      <c r="Z644" s="40"/>
      <c r="AA644" s="40"/>
      <c r="AB644" s="40"/>
      <c r="AC644" s="40"/>
      <c r="AD644" s="40"/>
      <c r="AE644" s="40"/>
      <c r="AF644" s="40"/>
      <c r="AG644" s="40"/>
      <c r="AH644" s="40"/>
      <c r="AI644" s="40"/>
      <c r="AJ644" s="40"/>
      <c r="AK644" s="40"/>
      <c r="AL644" s="40"/>
      <c r="AM644" s="40"/>
      <c r="AN644" s="40"/>
      <c r="AO644" s="40"/>
      <c r="AP644" s="40"/>
    </row>
    <row r="645" spans="2:42" x14ac:dyDescent="0.2">
      <c r="B645" s="40"/>
      <c r="C645" s="40"/>
      <c r="D645" s="40"/>
      <c r="E645" s="40"/>
      <c r="F645" s="40"/>
      <c r="G645" s="40"/>
      <c r="H645" s="40"/>
      <c r="I645" s="40"/>
      <c r="J645" s="40"/>
      <c r="K645" s="40"/>
      <c r="L645" s="40"/>
      <c r="M645" s="40"/>
      <c r="N645" s="40"/>
      <c r="O645" s="40"/>
      <c r="P645" s="40"/>
      <c r="Q645" s="40"/>
      <c r="R645" s="40"/>
      <c r="S645" s="40"/>
      <c r="T645" s="40"/>
      <c r="U645" s="40"/>
      <c r="V645" s="40"/>
      <c r="W645" s="40"/>
      <c r="X645" s="40"/>
      <c r="Y645" s="40"/>
      <c r="Z645" s="40"/>
      <c r="AA645" s="40"/>
      <c r="AB645" s="40"/>
      <c r="AC645" s="40"/>
      <c r="AD645" s="40"/>
      <c r="AE645" s="40"/>
      <c r="AF645" s="40"/>
      <c r="AG645" s="40"/>
      <c r="AH645" s="40"/>
      <c r="AI645" s="40"/>
      <c r="AJ645" s="40"/>
      <c r="AK645" s="40"/>
      <c r="AL645" s="40"/>
      <c r="AM645" s="40"/>
      <c r="AN645" s="40"/>
      <c r="AO645" s="40"/>
      <c r="AP645" s="40"/>
    </row>
    <row r="646" spans="2:42" x14ac:dyDescent="0.2">
      <c r="B646" s="40"/>
      <c r="C646" s="40"/>
      <c r="D646" s="40"/>
      <c r="E646" s="40"/>
      <c r="F646" s="40"/>
      <c r="G646" s="40"/>
      <c r="H646" s="40"/>
      <c r="I646" s="40"/>
      <c r="J646" s="40"/>
      <c r="K646" s="40"/>
      <c r="L646" s="40"/>
      <c r="M646" s="40"/>
      <c r="N646" s="40"/>
      <c r="O646" s="40"/>
      <c r="P646" s="40"/>
      <c r="Q646" s="40"/>
      <c r="R646" s="40"/>
      <c r="S646" s="40"/>
      <c r="T646" s="40"/>
      <c r="U646" s="40"/>
      <c r="V646" s="40"/>
      <c r="W646" s="40"/>
      <c r="X646" s="40"/>
      <c r="Y646" s="40"/>
      <c r="Z646" s="40"/>
      <c r="AA646" s="40"/>
      <c r="AB646" s="40"/>
      <c r="AC646" s="40"/>
      <c r="AD646" s="40"/>
      <c r="AE646" s="40"/>
      <c r="AF646" s="40"/>
      <c r="AG646" s="40"/>
      <c r="AH646" s="40"/>
      <c r="AI646" s="40"/>
      <c r="AJ646" s="40"/>
      <c r="AK646" s="40"/>
      <c r="AL646" s="40"/>
      <c r="AM646" s="40"/>
      <c r="AN646" s="40"/>
      <c r="AO646" s="40"/>
      <c r="AP646" s="40"/>
    </row>
    <row r="647" spans="2:42" x14ac:dyDescent="0.2">
      <c r="B647" s="40"/>
      <c r="C647" s="40"/>
      <c r="D647" s="40"/>
      <c r="E647" s="40"/>
      <c r="F647" s="40"/>
      <c r="G647" s="40"/>
      <c r="H647" s="40"/>
      <c r="I647" s="40"/>
      <c r="J647" s="40"/>
      <c r="K647" s="40"/>
      <c r="L647" s="40"/>
      <c r="M647" s="40"/>
      <c r="N647" s="40"/>
      <c r="O647" s="40"/>
      <c r="P647" s="40"/>
      <c r="Q647" s="40"/>
      <c r="R647" s="40"/>
      <c r="S647" s="40"/>
      <c r="T647" s="40"/>
      <c r="U647" s="40"/>
      <c r="V647" s="40"/>
      <c r="W647" s="40"/>
      <c r="X647" s="40"/>
      <c r="Y647" s="40"/>
      <c r="Z647" s="40"/>
      <c r="AA647" s="40"/>
      <c r="AB647" s="40"/>
      <c r="AC647" s="40"/>
      <c r="AD647" s="40"/>
      <c r="AE647" s="40"/>
      <c r="AF647" s="40"/>
      <c r="AG647" s="40"/>
      <c r="AH647" s="40"/>
      <c r="AI647" s="40"/>
      <c r="AJ647" s="40"/>
      <c r="AK647" s="40"/>
      <c r="AL647" s="40"/>
      <c r="AM647" s="40"/>
      <c r="AN647" s="40"/>
      <c r="AO647" s="40"/>
      <c r="AP647" s="40"/>
    </row>
    <row r="648" spans="2:42" x14ac:dyDescent="0.2">
      <c r="B648" s="40"/>
      <c r="C648" s="40"/>
      <c r="D648" s="40"/>
      <c r="E648" s="40"/>
      <c r="F648" s="40"/>
      <c r="G648" s="40"/>
      <c r="H648" s="40"/>
      <c r="I648" s="40"/>
      <c r="J648" s="40"/>
      <c r="K648" s="40"/>
      <c r="L648" s="40"/>
      <c r="M648" s="40"/>
      <c r="N648" s="40"/>
      <c r="O648" s="40"/>
      <c r="P648" s="40"/>
      <c r="Q648" s="40"/>
      <c r="R648" s="40"/>
      <c r="S648" s="40"/>
      <c r="T648" s="40"/>
      <c r="U648" s="40"/>
      <c r="V648" s="40"/>
      <c r="W648" s="40"/>
      <c r="X648" s="40"/>
      <c r="Y648" s="40"/>
      <c r="Z648" s="40"/>
      <c r="AA648" s="40"/>
      <c r="AB648" s="40"/>
      <c r="AC648" s="40"/>
      <c r="AD648" s="40"/>
      <c r="AE648" s="40"/>
      <c r="AF648" s="40"/>
      <c r="AG648" s="40"/>
      <c r="AH648" s="40"/>
      <c r="AI648" s="40"/>
      <c r="AJ648" s="40"/>
      <c r="AK648" s="40"/>
      <c r="AL648" s="40"/>
      <c r="AM648" s="40"/>
      <c r="AN648" s="40"/>
      <c r="AO648" s="40"/>
      <c r="AP648" s="40"/>
    </row>
    <row r="649" spans="2:42" x14ac:dyDescent="0.2">
      <c r="B649" s="40"/>
      <c r="C649" s="40"/>
      <c r="D649" s="40"/>
      <c r="E649" s="40"/>
      <c r="F649" s="40"/>
      <c r="G649" s="40"/>
      <c r="H649" s="40"/>
      <c r="I649" s="40"/>
      <c r="J649" s="40"/>
      <c r="K649" s="40"/>
      <c r="L649" s="40"/>
      <c r="M649" s="40"/>
      <c r="N649" s="40"/>
      <c r="O649" s="40"/>
      <c r="P649" s="40"/>
      <c r="Q649" s="40"/>
      <c r="R649" s="40"/>
      <c r="S649" s="40"/>
      <c r="T649" s="40"/>
      <c r="U649" s="40"/>
      <c r="V649" s="40"/>
      <c r="W649" s="40"/>
      <c r="X649" s="40"/>
      <c r="Y649" s="40"/>
      <c r="Z649" s="40"/>
      <c r="AA649" s="40"/>
      <c r="AB649" s="40"/>
      <c r="AC649" s="40"/>
      <c r="AD649" s="40"/>
      <c r="AE649" s="40"/>
      <c r="AF649" s="40"/>
      <c r="AG649" s="40"/>
      <c r="AH649" s="40"/>
      <c r="AI649" s="40"/>
      <c r="AJ649" s="40"/>
      <c r="AK649" s="40"/>
      <c r="AL649" s="40"/>
      <c r="AM649" s="40"/>
      <c r="AN649" s="40"/>
      <c r="AO649" s="40"/>
      <c r="AP649" s="40"/>
    </row>
    <row r="650" spans="2:42" x14ac:dyDescent="0.2">
      <c r="B650" s="40"/>
      <c r="C650" s="40"/>
      <c r="D650" s="40"/>
      <c r="E650" s="40"/>
      <c r="F650" s="40"/>
      <c r="G650" s="40"/>
      <c r="H650" s="40"/>
      <c r="I650" s="40"/>
      <c r="J650" s="40"/>
      <c r="K650" s="40"/>
      <c r="L650" s="40"/>
      <c r="M650" s="40"/>
      <c r="N650" s="40"/>
      <c r="O650" s="40"/>
      <c r="P650" s="40"/>
      <c r="Q650" s="40"/>
      <c r="R650" s="40"/>
      <c r="S650" s="40"/>
      <c r="T650" s="40"/>
      <c r="U650" s="40"/>
      <c r="V650" s="40"/>
      <c r="W650" s="40"/>
      <c r="X650" s="40"/>
      <c r="Y650" s="40"/>
      <c r="Z650" s="40"/>
      <c r="AA650" s="40"/>
      <c r="AB650" s="40"/>
      <c r="AC650" s="40"/>
      <c r="AD650" s="40"/>
      <c r="AE650" s="40"/>
      <c r="AF650" s="40"/>
      <c r="AG650" s="40"/>
      <c r="AH650" s="40"/>
      <c r="AI650" s="40"/>
      <c r="AJ650" s="40"/>
      <c r="AK650" s="40"/>
      <c r="AL650" s="40"/>
      <c r="AM650" s="40"/>
      <c r="AN650" s="40"/>
      <c r="AO650" s="40"/>
      <c r="AP650" s="40"/>
    </row>
    <row r="651" spans="2:42" x14ac:dyDescent="0.2">
      <c r="B651" s="40"/>
      <c r="C651" s="40"/>
      <c r="D651" s="40"/>
      <c r="E651" s="40"/>
      <c r="F651" s="40"/>
      <c r="G651" s="40"/>
      <c r="H651" s="40"/>
      <c r="I651" s="40"/>
      <c r="J651" s="40"/>
      <c r="K651" s="40"/>
      <c r="L651" s="40"/>
      <c r="M651" s="40"/>
      <c r="N651" s="40"/>
      <c r="O651" s="40"/>
      <c r="P651" s="40"/>
      <c r="Q651" s="40"/>
      <c r="R651" s="40"/>
      <c r="S651" s="40"/>
      <c r="T651" s="40"/>
      <c r="U651" s="40"/>
      <c r="V651" s="40"/>
      <c r="W651" s="40"/>
      <c r="X651" s="40"/>
      <c r="Y651" s="40"/>
      <c r="Z651" s="40"/>
      <c r="AA651" s="40"/>
      <c r="AB651" s="40"/>
      <c r="AC651" s="40"/>
      <c r="AD651" s="40"/>
      <c r="AE651" s="40"/>
      <c r="AF651" s="40"/>
      <c r="AG651" s="40"/>
      <c r="AH651" s="40"/>
      <c r="AI651" s="40"/>
      <c r="AJ651" s="40"/>
      <c r="AK651" s="40"/>
      <c r="AL651" s="40"/>
      <c r="AM651" s="40"/>
      <c r="AN651" s="40"/>
      <c r="AO651" s="40"/>
      <c r="AP651" s="40"/>
    </row>
    <row r="652" spans="2:42" x14ac:dyDescent="0.2">
      <c r="B652" s="40"/>
      <c r="C652" s="40"/>
      <c r="D652" s="40"/>
      <c r="E652" s="40"/>
      <c r="F652" s="40"/>
      <c r="G652" s="40"/>
      <c r="H652" s="40"/>
      <c r="I652" s="40"/>
      <c r="J652" s="40"/>
      <c r="K652" s="40"/>
      <c r="L652" s="40"/>
      <c r="M652" s="40"/>
      <c r="N652" s="40"/>
      <c r="O652" s="40"/>
      <c r="P652" s="40"/>
      <c r="Q652" s="40"/>
      <c r="R652" s="40"/>
      <c r="S652" s="40"/>
      <c r="T652" s="40"/>
      <c r="U652" s="40"/>
      <c r="V652" s="40"/>
      <c r="W652" s="40"/>
      <c r="X652" s="40"/>
      <c r="Y652" s="40"/>
      <c r="Z652" s="40"/>
      <c r="AA652" s="40"/>
      <c r="AB652" s="40"/>
      <c r="AC652" s="40"/>
      <c r="AD652" s="40"/>
      <c r="AE652" s="40"/>
      <c r="AF652" s="40"/>
      <c r="AG652" s="40"/>
      <c r="AH652" s="40"/>
      <c r="AI652" s="40"/>
      <c r="AJ652" s="40"/>
      <c r="AK652" s="40"/>
      <c r="AL652" s="40"/>
      <c r="AM652" s="40"/>
      <c r="AN652" s="40"/>
      <c r="AO652" s="40"/>
      <c r="AP652" s="40"/>
    </row>
    <row r="653" spans="2:42" x14ac:dyDescent="0.2">
      <c r="B653" s="40"/>
      <c r="C653" s="40"/>
      <c r="D653" s="40"/>
      <c r="E653" s="40"/>
      <c r="F653" s="40"/>
      <c r="G653" s="40"/>
      <c r="H653" s="40"/>
      <c r="I653" s="40"/>
      <c r="J653" s="40"/>
      <c r="K653" s="40"/>
      <c r="L653" s="40"/>
      <c r="M653" s="40"/>
      <c r="N653" s="40"/>
      <c r="O653" s="40"/>
      <c r="P653" s="40"/>
      <c r="Q653" s="40"/>
      <c r="R653" s="40"/>
      <c r="S653" s="40"/>
      <c r="T653" s="40"/>
      <c r="U653" s="40"/>
      <c r="V653" s="40"/>
      <c r="W653" s="40"/>
      <c r="X653" s="40"/>
      <c r="Y653" s="40"/>
      <c r="Z653" s="40"/>
      <c r="AA653" s="40"/>
      <c r="AB653" s="40"/>
      <c r="AC653" s="40"/>
      <c r="AD653" s="40"/>
      <c r="AE653" s="40"/>
      <c r="AF653" s="40"/>
      <c r="AG653" s="40"/>
      <c r="AH653" s="40"/>
      <c r="AI653" s="40"/>
      <c r="AJ653" s="40"/>
      <c r="AK653" s="40"/>
      <c r="AL653" s="40"/>
      <c r="AM653" s="40"/>
      <c r="AN653" s="40"/>
      <c r="AO653" s="40"/>
      <c r="AP653" s="40"/>
    </row>
    <row r="654" spans="2:42" x14ac:dyDescent="0.2">
      <c r="B654" s="40"/>
      <c r="C654" s="40"/>
      <c r="D654" s="40"/>
      <c r="E654" s="40"/>
      <c r="F654" s="40"/>
      <c r="G654" s="40"/>
      <c r="H654" s="40"/>
      <c r="I654" s="40"/>
      <c r="J654" s="40"/>
      <c r="K654" s="40"/>
      <c r="L654" s="40"/>
      <c r="M654" s="40"/>
      <c r="N654" s="40"/>
      <c r="O654" s="40"/>
      <c r="P654" s="40"/>
      <c r="Q654" s="40"/>
      <c r="R654" s="40"/>
      <c r="S654" s="40"/>
      <c r="T654" s="40"/>
      <c r="U654" s="40"/>
      <c r="V654" s="40"/>
      <c r="W654" s="40"/>
      <c r="X654" s="40"/>
      <c r="Y654" s="40"/>
      <c r="Z654" s="40"/>
      <c r="AA654" s="40"/>
      <c r="AB654" s="40"/>
      <c r="AC654" s="40"/>
      <c r="AD654" s="40"/>
      <c r="AE654" s="40"/>
      <c r="AF654" s="40"/>
      <c r="AG654" s="40"/>
      <c r="AH654" s="40"/>
      <c r="AI654" s="40"/>
      <c r="AJ654" s="40"/>
      <c r="AK654" s="40"/>
      <c r="AL654" s="40"/>
      <c r="AM654" s="40"/>
      <c r="AN654" s="40"/>
      <c r="AO654" s="40"/>
      <c r="AP654" s="40"/>
    </row>
    <row r="655" spans="2:42" x14ac:dyDescent="0.2">
      <c r="B655" s="40"/>
      <c r="C655" s="40"/>
      <c r="D655" s="40"/>
      <c r="E655" s="40"/>
      <c r="F655" s="40"/>
      <c r="G655" s="40"/>
      <c r="H655" s="40"/>
      <c r="I655" s="40"/>
      <c r="J655" s="40"/>
      <c r="K655" s="40"/>
      <c r="L655" s="40"/>
      <c r="M655" s="40"/>
      <c r="N655" s="40"/>
      <c r="O655" s="40"/>
      <c r="P655" s="40"/>
      <c r="Q655" s="40"/>
      <c r="R655" s="40"/>
      <c r="S655" s="40"/>
      <c r="T655" s="40"/>
      <c r="U655" s="40"/>
      <c r="V655" s="40"/>
      <c r="W655" s="40"/>
      <c r="X655" s="40"/>
      <c r="Y655" s="40"/>
      <c r="Z655" s="40"/>
      <c r="AA655" s="40"/>
      <c r="AB655" s="40"/>
      <c r="AC655" s="40"/>
      <c r="AD655" s="40"/>
      <c r="AE655" s="40"/>
      <c r="AF655" s="40"/>
      <c r="AG655" s="40"/>
      <c r="AH655" s="40"/>
      <c r="AI655" s="40"/>
      <c r="AJ655" s="40"/>
      <c r="AK655" s="40"/>
      <c r="AL655" s="40"/>
      <c r="AM655" s="40"/>
      <c r="AN655" s="40"/>
      <c r="AO655" s="40"/>
      <c r="AP655" s="40"/>
    </row>
    <row r="656" spans="2:42" x14ac:dyDescent="0.2">
      <c r="B656" s="40"/>
      <c r="C656" s="40"/>
      <c r="D656" s="40"/>
      <c r="E656" s="40"/>
      <c r="F656" s="40"/>
      <c r="G656" s="40"/>
      <c r="H656" s="40"/>
      <c r="I656" s="40"/>
      <c r="J656" s="40"/>
      <c r="K656" s="40"/>
      <c r="L656" s="40"/>
      <c r="M656" s="40"/>
      <c r="N656" s="40"/>
      <c r="O656" s="40"/>
      <c r="P656" s="40"/>
      <c r="Q656" s="40"/>
      <c r="R656" s="40"/>
      <c r="S656" s="40"/>
      <c r="T656" s="40"/>
      <c r="U656" s="40"/>
      <c r="V656" s="40"/>
      <c r="W656" s="40"/>
      <c r="X656" s="40"/>
      <c r="Y656" s="40"/>
      <c r="Z656" s="40"/>
      <c r="AA656" s="40"/>
      <c r="AB656" s="40"/>
      <c r="AC656" s="40"/>
      <c r="AD656" s="40"/>
      <c r="AE656" s="40"/>
      <c r="AF656" s="40"/>
      <c r="AG656" s="40"/>
      <c r="AH656" s="40"/>
      <c r="AI656" s="40"/>
      <c r="AJ656" s="40"/>
      <c r="AK656" s="40"/>
      <c r="AL656" s="40"/>
      <c r="AM656" s="40"/>
      <c r="AN656" s="40"/>
      <c r="AO656" s="40"/>
      <c r="AP656" s="40"/>
    </row>
    <row r="657" spans="2:42" x14ac:dyDescent="0.2">
      <c r="B657" s="40"/>
      <c r="C657" s="40"/>
      <c r="D657" s="40"/>
      <c r="E657" s="40"/>
      <c r="F657" s="40"/>
      <c r="G657" s="40"/>
      <c r="H657" s="40"/>
      <c r="I657" s="40"/>
      <c r="J657" s="40"/>
      <c r="K657" s="40"/>
      <c r="L657" s="40"/>
      <c r="M657" s="40"/>
      <c r="N657" s="40"/>
      <c r="O657" s="40"/>
      <c r="P657" s="40"/>
      <c r="Q657" s="40"/>
      <c r="R657" s="40"/>
      <c r="S657" s="40"/>
      <c r="T657" s="40"/>
      <c r="U657" s="40"/>
      <c r="V657" s="40"/>
      <c r="W657" s="40"/>
      <c r="X657" s="40"/>
      <c r="Y657" s="40"/>
      <c r="Z657" s="40"/>
      <c r="AA657" s="40"/>
      <c r="AB657" s="40"/>
      <c r="AC657" s="40"/>
      <c r="AD657" s="40"/>
      <c r="AE657" s="40"/>
      <c r="AF657" s="40"/>
      <c r="AG657" s="40"/>
      <c r="AH657" s="40"/>
      <c r="AI657" s="40"/>
      <c r="AJ657" s="40"/>
      <c r="AK657" s="40"/>
      <c r="AL657" s="40"/>
      <c r="AM657" s="40"/>
      <c r="AN657" s="40"/>
      <c r="AO657" s="40"/>
      <c r="AP657" s="40"/>
    </row>
    <row r="658" spans="2:42" x14ac:dyDescent="0.2">
      <c r="B658" s="40"/>
      <c r="C658" s="40"/>
      <c r="D658" s="40"/>
      <c r="E658" s="40"/>
      <c r="F658" s="40"/>
      <c r="G658" s="40"/>
      <c r="H658" s="40"/>
      <c r="I658" s="40"/>
      <c r="J658" s="40"/>
      <c r="K658" s="40"/>
      <c r="L658" s="40"/>
      <c r="M658" s="40"/>
      <c r="N658" s="40"/>
      <c r="O658" s="40"/>
      <c r="P658" s="40"/>
      <c r="Q658" s="40"/>
      <c r="R658" s="40"/>
      <c r="S658" s="40"/>
      <c r="T658" s="40"/>
      <c r="U658" s="40"/>
      <c r="V658" s="40"/>
      <c r="W658" s="40"/>
      <c r="X658" s="40"/>
      <c r="Y658" s="40"/>
      <c r="Z658" s="40"/>
      <c r="AA658" s="40"/>
      <c r="AB658" s="40"/>
      <c r="AC658" s="40"/>
      <c r="AD658" s="40"/>
      <c r="AE658" s="40"/>
      <c r="AF658" s="40"/>
      <c r="AG658" s="40"/>
      <c r="AH658" s="40"/>
      <c r="AI658" s="40"/>
      <c r="AJ658" s="40"/>
      <c r="AK658" s="40"/>
      <c r="AL658" s="40"/>
      <c r="AM658" s="40"/>
      <c r="AN658" s="40"/>
      <c r="AO658" s="40"/>
      <c r="AP658" s="40"/>
    </row>
    <row r="659" spans="2:42" x14ac:dyDescent="0.2">
      <c r="B659" s="40"/>
      <c r="C659" s="40"/>
      <c r="D659" s="40"/>
      <c r="E659" s="40"/>
      <c r="F659" s="40"/>
      <c r="G659" s="40"/>
      <c r="H659" s="40"/>
      <c r="I659" s="40"/>
      <c r="J659" s="40"/>
      <c r="K659" s="40"/>
      <c r="L659" s="40"/>
      <c r="M659" s="40"/>
      <c r="N659" s="40"/>
      <c r="O659" s="40"/>
      <c r="P659" s="40"/>
      <c r="Q659" s="40"/>
      <c r="R659" s="40"/>
      <c r="S659" s="40"/>
      <c r="T659" s="40"/>
      <c r="U659" s="40"/>
      <c r="V659" s="40"/>
      <c r="W659" s="40"/>
      <c r="X659" s="40"/>
      <c r="Y659" s="40"/>
      <c r="Z659" s="40"/>
      <c r="AA659" s="40"/>
      <c r="AB659" s="40"/>
      <c r="AC659" s="40"/>
      <c r="AD659" s="40"/>
      <c r="AE659" s="40"/>
      <c r="AF659" s="40"/>
      <c r="AG659" s="40"/>
      <c r="AH659" s="40"/>
      <c r="AI659" s="40"/>
      <c r="AJ659" s="40"/>
      <c r="AK659" s="40"/>
      <c r="AL659" s="40"/>
      <c r="AM659" s="40"/>
      <c r="AN659" s="40"/>
      <c r="AO659" s="40"/>
      <c r="AP659" s="40"/>
    </row>
    <row r="660" spans="2:42" x14ac:dyDescent="0.2">
      <c r="B660" s="40"/>
      <c r="C660" s="40"/>
      <c r="D660" s="40"/>
      <c r="E660" s="40"/>
      <c r="F660" s="40"/>
      <c r="G660" s="40"/>
      <c r="H660" s="40"/>
      <c r="I660" s="40"/>
      <c r="J660" s="40"/>
      <c r="K660" s="40"/>
      <c r="L660" s="40"/>
      <c r="M660" s="40"/>
      <c r="N660" s="40"/>
      <c r="O660" s="40"/>
      <c r="P660" s="40"/>
      <c r="Q660" s="40"/>
      <c r="R660" s="40"/>
      <c r="S660" s="40"/>
      <c r="T660" s="40"/>
      <c r="U660" s="40"/>
      <c r="V660" s="40"/>
      <c r="W660" s="40"/>
      <c r="X660" s="40"/>
      <c r="Y660" s="40"/>
      <c r="Z660" s="40"/>
      <c r="AA660" s="40"/>
      <c r="AB660" s="40"/>
      <c r="AC660" s="40"/>
      <c r="AD660" s="40"/>
      <c r="AE660" s="40"/>
      <c r="AF660" s="40"/>
      <c r="AG660" s="40"/>
      <c r="AH660" s="40"/>
      <c r="AI660" s="40"/>
      <c r="AJ660" s="40"/>
      <c r="AK660" s="40"/>
      <c r="AL660" s="40"/>
      <c r="AM660" s="40"/>
      <c r="AN660" s="40"/>
      <c r="AO660" s="40"/>
      <c r="AP660" s="40"/>
    </row>
    <row r="661" spans="2:42" x14ac:dyDescent="0.2">
      <c r="B661" s="40"/>
      <c r="C661" s="40"/>
      <c r="D661" s="40"/>
      <c r="E661" s="40"/>
      <c r="F661" s="40"/>
      <c r="G661" s="40"/>
      <c r="H661" s="40"/>
      <c r="I661" s="40"/>
      <c r="J661" s="40"/>
      <c r="K661" s="40"/>
      <c r="L661" s="40"/>
      <c r="M661" s="40"/>
      <c r="N661" s="40"/>
      <c r="O661" s="40"/>
      <c r="P661" s="40"/>
      <c r="Q661" s="40"/>
      <c r="R661" s="40"/>
      <c r="S661" s="40"/>
      <c r="T661" s="40"/>
      <c r="U661" s="40"/>
      <c r="V661" s="40"/>
      <c r="W661" s="40"/>
      <c r="X661" s="40"/>
      <c r="Y661" s="40"/>
      <c r="Z661" s="40"/>
      <c r="AA661" s="40"/>
      <c r="AB661" s="40"/>
      <c r="AC661" s="40"/>
      <c r="AD661" s="40"/>
      <c r="AE661" s="40"/>
      <c r="AF661" s="40"/>
      <c r="AG661" s="40"/>
      <c r="AH661" s="40"/>
      <c r="AI661" s="40"/>
      <c r="AJ661" s="40"/>
      <c r="AK661" s="40"/>
      <c r="AL661" s="40"/>
      <c r="AM661" s="40"/>
      <c r="AN661" s="40"/>
      <c r="AO661" s="40"/>
      <c r="AP661" s="40"/>
    </row>
    <row r="662" spans="2:42" x14ac:dyDescent="0.2">
      <c r="B662" s="40"/>
      <c r="C662" s="40"/>
      <c r="D662" s="40"/>
      <c r="E662" s="40"/>
      <c r="F662" s="40"/>
      <c r="G662" s="40"/>
      <c r="H662" s="40"/>
      <c r="I662" s="40"/>
      <c r="J662" s="40"/>
      <c r="K662" s="40"/>
      <c r="L662" s="40"/>
      <c r="M662" s="40"/>
      <c r="N662" s="40"/>
      <c r="O662" s="40"/>
      <c r="P662" s="40"/>
      <c r="Q662" s="40"/>
      <c r="R662" s="40"/>
      <c r="S662" s="40"/>
      <c r="T662" s="40"/>
      <c r="U662" s="40"/>
      <c r="V662" s="40"/>
      <c r="W662" s="40"/>
      <c r="X662" s="40"/>
      <c r="Y662" s="40"/>
      <c r="Z662" s="40"/>
      <c r="AA662" s="40"/>
      <c r="AB662" s="40"/>
      <c r="AC662" s="40"/>
      <c r="AD662" s="40"/>
      <c r="AE662" s="40"/>
      <c r="AF662" s="40"/>
      <c r="AG662" s="40"/>
      <c r="AH662" s="40"/>
      <c r="AI662" s="40"/>
      <c r="AJ662" s="40"/>
      <c r="AK662" s="40"/>
      <c r="AL662" s="40"/>
      <c r="AM662" s="40"/>
      <c r="AN662" s="40"/>
      <c r="AO662" s="40"/>
      <c r="AP662" s="40"/>
    </row>
    <row r="663" spans="2:42" x14ac:dyDescent="0.2">
      <c r="B663" s="40"/>
      <c r="C663" s="40"/>
      <c r="D663" s="40"/>
      <c r="E663" s="40"/>
      <c r="F663" s="40"/>
      <c r="G663" s="40"/>
      <c r="H663" s="40"/>
      <c r="I663" s="40"/>
      <c r="J663" s="40"/>
      <c r="K663" s="40"/>
      <c r="L663" s="40"/>
      <c r="M663" s="40"/>
      <c r="N663" s="40"/>
      <c r="O663" s="40"/>
      <c r="P663" s="40"/>
      <c r="Q663" s="40"/>
      <c r="R663" s="40"/>
      <c r="S663" s="40"/>
      <c r="T663" s="40"/>
      <c r="U663" s="40"/>
      <c r="V663" s="40"/>
      <c r="W663" s="40"/>
      <c r="X663" s="40"/>
      <c r="Y663" s="40"/>
      <c r="Z663" s="40"/>
      <c r="AA663" s="40"/>
      <c r="AB663" s="40"/>
      <c r="AC663" s="40"/>
      <c r="AD663" s="40"/>
      <c r="AE663" s="40"/>
      <c r="AF663" s="40"/>
      <c r="AG663" s="40"/>
      <c r="AH663" s="40"/>
      <c r="AI663" s="40"/>
      <c r="AJ663" s="40"/>
      <c r="AK663" s="40"/>
      <c r="AL663" s="40"/>
      <c r="AM663" s="40"/>
      <c r="AN663" s="40"/>
      <c r="AO663" s="40"/>
      <c r="AP663" s="40"/>
    </row>
    <row r="664" spans="2:42" x14ac:dyDescent="0.2">
      <c r="B664" s="40"/>
      <c r="C664" s="40"/>
      <c r="D664" s="40"/>
      <c r="E664" s="40"/>
      <c r="F664" s="40"/>
      <c r="G664" s="40"/>
      <c r="H664" s="40"/>
      <c r="I664" s="40"/>
      <c r="J664" s="40"/>
      <c r="K664" s="40"/>
      <c r="L664" s="40"/>
      <c r="M664" s="40"/>
      <c r="N664" s="40"/>
      <c r="O664" s="40"/>
      <c r="P664" s="40"/>
      <c r="Q664" s="40"/>
      <c r="R664" s="40"/>
      <c r="S664" s="40"/>
      <c r="T664" s="40"/>
      <c r="U664" s="40"/>
      <c r="V664" s="40"/>
      <c r="W664" s="40"/>
      <c r="X664" s="40"/>
      <c r="Y664" s="40"/>
      <c r="Z664" s="40"/>
      <c r="AA664" s="40"/>
      <c r="AB664" s="40"/>
      <c r="AC664" s="40"/>
      <c r="AD664" s="40"/>
      <c r="AE664" s="40"/>
      <c r="AF664" s="40"/>
      <c r="AG664" s="40"/>
      <c r="AH664" s="40"/>
      <c r="AI664" s="40"/>
      <c r="AJ664" s="40"/>
      <c r="AK664" s="40"/>
      <c r="AL664" s="40"/>
      <c r="AM664" s="40"/>
      <c r="AN664" s="40"/>
      <c r="AO664" s="40"/>
      <c r="AP664" s="40"/>
    </row>
    <row r="665" spans="2:42" x14ac:dyDescent="0.2">
      <c r="B665" s="40"/>
      <c r="C665" s="40"/>
      <c r="D665" s="40"/>
      <c r="E665" s="40"/>
      <c r="F665" s="40"/>
      <c r="G665" s="40"/>
      <c r="H665" s="40"/>
      <c r="I665" s="40"/>
      <c r="J665" s="40"/>
      <c r="K665" s="40"/>
      <c r="L665" s="40"/>
      <c r="M665" s="40"/>
      <c r="N665" s="40"/>
      <c r="O665" s="40"/>
      <c r="P665" s="40"/>
      <c r="Q665" s="40"/>
      <c r="R665" s="40"/>
      <c r="S665" s="40"/>
      <c r="T665" s="40"/>
      <c r="U665" s="40"/>
      <c r="V665" s="40"/>
      <c r="W665" s="40"/>
      <c r="X665" s="40"/>
      <c r="Y665" s="40"/>
      <c r="Z665" s="40"/>
      <c r="AA665" s="40"/>
      <c r="AB665" s="40"/>
      <c r="AC665" s="40"/>
      <c r="AD665" s="40"/>
      <c r="AE665" s="40"/>
      <c r="AF665" s="40"/>
      <c r="AG665" s="40"/>
      <c r="AH665" s="40"/>
      <c r="AI665" s="40"/>
      <c r="AJ665" s="40"/>
      <c r="AK665" s="40"/>
      <c r="AL665" s="40"/>
      <c r="AM665" s="40"/>
      <c r="AN665" s="40"/>
      <c r="AO665" s="40"/>
      <c r="AP665" s="40"/>
    </row>
    <row r="666" spans="2:42" x14ac:dyDescent="0.2">
      <c r="B666" s="40"/>
      <c r="C666" s="40"/>
      <c r="D666" s="40"/>
      <c r="E666" s="40"/>
      <c r="F666" s="40"/>
      <c r="G666" s="40"/>
      <c r="H666" s="40"/>
      <c r="I666" s="40"/>
      <c r="J666" s="40"/>
      <c r="K666" s="40"/>
      <c r="L666" s="40"/>
      <c r="M666" s="40"/>
      <c r="N666" s="40"/>
      <c r="O666" s="40"/>
      <c r="P666" s="40"/>
      <c r="Q666" s="40"/>
      <c r="R666" s="40"/>
      <c r="S666" s="40"/>
      <c r="T666" s="40"/>
      <c r="U666" s="40"/>
      <c r="V666" s="40"/>
      <c r="W666" s="40"/>
      <c r="X666" s="40"/>
      <c r="Y666" s="40"/>
      <c r="Z666" s="40"/>
      <c r="AA666" s="40"/>
      <c r="AB666" s="40"/>
      <c r="AC666" s="40"/>
      <c r="AD666" s="40"/>
      <c r="AE666" s="40"/>
      <c r="AF666" s="40"/>
      <c r="AG666" s="40"/>
      <c r="AH666" s="40"/>
      <c r="AI666" s="40"/>
      <c r="AJ666" s="40"/>
      <c r="AK666" s="40"/>
      <c r="AL666" s="40"/>
      <c r="AM666" s="40"/>
      <c r="AN666" s="40"/>
      <c r="AO666" s="40"/>
      <c r="AP666" s="40"/>
    </row>
    <row r="667" spans="2:42" x14ac:dyDescent="0.2">
      <c r="B667" s="40"/>
      <c r="C667" s="40"/>
      <c r="D667" s="40"/>
      <c r="E667" s="40"/>
      <c r="F667" s="40"/>
      <c r="G667" s="40"/>
      <c r="H667" s="40"/>
      <c r="I667" s="40"/>
      <c r="J667" s="40"/>
      <c r="K667" s="40"/>
      <c r="L667" s="40"/>
      <c r="M667" s="40"/>
      <c r="N667" s="40"/>
      <c r="O667" s="40"/>
      <c r="P667" s="40"/>
      <c r="Q667" s="40"/>
      <c r="R667" s="40"/>
      <c r="S667" s="40"/>
      <c r="T667" s="40"/>
      <c r="U667" s="40"/>
      <c r="V667" s="40"/>
      <c r="W667" s="40"/>
      <c r="X667" s="40"/>
      <c r="Y667" s="40"/>
      <c r="Z667" s="40"/>
      <c r="AA667" s="40"/>
      <c r="AB667" s="40"/>
      <c r="AC667" s="40"/>
      <c r="AD667" s="40"/>
      <c r="AE667" s="40"/>
      <c r="AF667" s="40"/>
      <c r="AG667" s="40"/>
      <c r="AH667" s="40"/>
      <c r="AI667" s="40"/>
      <c r="AJ667" s="40"/>
      <c r="AK667" s="40"/>
      <c r="AL667" s="40"/>
      <c r="AM667" s="40"/>
      <c r="AN667" s="40"/>
      <c r="AO667" s="40"/>
      <c r="AP667" s="40"/>
    </row>
    <row r="668" spans="2:42" x14ac:dyDescent="0.2">
      <c r="B668" s="40"/>
      <c r="C668" s="40"/>
      <c r="D668" s="40"/>
      <c r="E668" s="40"/>
      <c r="F668" s="40"/>
      <c r="G668" s="40"/>
      <c r="H668" s="40"/>
      <c r="I668" s="40"/>
      <c r="J668" s="40"/>
      <c r="K668" s="40"/>
      <c r="L668" s="40"/>
      <c r="M668" s="40"/>
      <c r="N668" s="40"/>
      <c r="O668" s="40"/>
      <c r="P668" s="40"/>
      <c r="Q668" s="40"/>
      <c r="R668" s="40"/>
      <c r="S668" s="40"/>
      <c r="T668" s="40"/>
      <c r="U668" s="40"/>
      <c r="V668" s="40"/>
      <c r="W668" s="40"/>
      <c r="X668" s="40"/>
      <c r="Y668" s="40"/>
      <c r="Z668" s="40"/>
      <c r="AA668" s="40"/>
      <c r="AB668" s="40"/>
      <c r="AC668" s="40"/>
      <c r="AD668" s="40"/>
      <c r="AE668" s="40"/>
      <c r="AF668" s="40"/>
      <c r="AG668" s="40"/>
      <c r="AH668" s="40"/>
      <c r="AI668" s="40"/>
      <c r="AJ668" s="40"/>
      <c r="AK668" s="40"/>
      <c r="AL668" s="40"/>
      <c r="AM668" s="40"/>
      <c r="AN668" s="40"/>
      <c r="AO668" s="40"/>
      <c r="AP668" s="40"/>
    </row>
    <row r="669" spans="2:42" x14ac:dyDescent="0.2">
      <c r="B669" s="40"/>
      <c r="C669" s="40"/>
      <c r="D669" s="40"/>
      <c r="E669" s="40"/>
      <c r="F669" s="40"/>
      <c r="G669" s="40"/>
      <c r="H669" s="40"/>
      <c r="I669" s="40"/>
      <c r="J669" s="40"/>
      <c r="K669" s="40"/>
      <c r="L669" s="40"/>
      <c r="M669" s="40"/>
      <c r="N669" s="40"/>
      <c r="O669" s="40"/>
      <c r="P669" s="40"/>
      <c r="Q669" s="40"/>
      <c r="R669" s="40"/>
      <c r="S669" s="40"/>
      <c r="T669" s="40"/>
      <c r="U669" s="40"/>
      <c r="V669" s="40"/>
      <c r="W669" s="40"/>
      <c r="X669" s="40"/>
      <c r="Y669" s="40"/>
      <c r="Z669" s="40"/>
      <c r="AA669" s="40"/>
      <c r="AB669" s="40"/>
      <c r="AC669" s="40"/>
      <c r="AD669" s="40"/>
      <c r="AE669" s="40"/>
      <c r="AF669" s="40"/>
      <c r="AG669" s="40"/>
      <c r="AH669" s="40"/>
      <c r="AI669" s="40"/>
      <c r="AJ669" s="40"/>
      <c r="AK669" s="40"/>
      <c r="AL669" s="40"/>
      <c r="AM669" s="40"/>
      <c r="AN669" s="40"/>
      <c r="AO669" s="40"/>
      <c r="AP669" s="40"/>
    </row>
    <row r="670" spans="2:42" x14ac:dyDescent="0.2">
      <c r="B670" s="40"/>
      <c r="C670" s="40"/>
      <c r="D670" s="40"/>
      <c r="E670" s="40"/>
      <c r="F670" s="40"/>
      <c r="G670" s="40"/>
      <c r="H670" s="40"/>
      <c r="I670" s="40"/>
      <c r="J670" s="40"/>
      <c r="K670" s="40"/>
      <c r="L670" s="40"/>
      <c r="M670" s="40"/>
      <c r="N670" s="40"/>
      <c r="O670" s="40"/>
      <c r="P670" s="40"/>
      <c r="Q670" s="40"/>
      <c r="R670" s="40"/>
      <c r="S670" s="40"/>
      <c r="T670" s="40"/>
      <c r="U670" s="40"/>
      <c r="V670" s="40"/>
      <c r="W670" s="40"/>
      <c r="X670" s="40"/>
      <c r="Y670" s="40"/>
      <c r="Z670" s="40"/>
      <c r="AA670" s="40"/>
      <c r="AB670" s="40"/>
      <c r="AC670" s="40"/>
      <c r="AD670" s="40"/>
      <c r="AE670" s="40"/>
      <c r="AF670" s="40"/>
      <c r="AG670" s="40"/>
      <c r="AH670" s="40"/>
      <c r="AI670" s="40"/>
      <c r="AJ670" s="40"/>
      <c r="AK670" s="40"/>
      <c r="AL670" s="40"/>
      <c r="AM670" s="40"/>
      <c r="AN670" s="40"/>
      <c r="AO670" s="40"/>
      <c r="AP670" s="40"/>
    </row>
    <row r="671" spans="2:42" x14ac:dyDescent="0.2">
      <c r="B671" s="40"/>
      <c r="C671" s="40"/>
      <c r="D671" s="40"/>
      <c r="E671" s="40"/>
      <c r="F671" s="40"/>
      <c r="G671" s="40"/>
      <c r="H671" s="40"/>
      <c r="I671" s="40"/>
      <c r="J671" s="40"/>
      <c r="K671" s="40"/>
      <c r="L671" s="40"/>
      <c r="M671" s="40"/>
      <c r="N671" s="40"/>
      <c r="O671" s="40"/>
      <c r="P671" s="40"/>
      <c r="Q671" s="40"/>
      <c r="R671" s="40"/>
      <c r="S671" s="40"/>
      <c r="T671" s="40"/>
      <c r="U671" s="40"/>
      <c r="V671" s="40"/>
      <c r="W671" s="40"/>
      <c r="X671" s="40"/>
      <c r="Y671" s="40"/>
      <c r="Z671" s="40"/>
      <c r="AA671" s="40"/>
      <c r="AB671" s="40"/>
      <c r="AC671" s="40"/>
      <c r="AD671" s="40"/>
      <c r="AE671" s="40"/>
      <c r="AF671" s="40"/>
      <c r="AG671" s="40"/>
      <c r="AH671" s="40"/>
      <c r="AI671" s="40"/>
      <c r="AJ671" s="40"/>
      <c r="AK671" s="40"/>
      <c r="AL671" s="40"/>
      <c r="AM671" s="40"/>
      <c r="AN671" s="40"/>
      <c r="AO671" s="40"/>
      <c r="AP671" s="40"/>
    </row>
    <row r="672" spans="2:42" x14ac:dyDescent="0.2">
      <c r="B672" s="40"/>
      <c r="C672" s="40"/>
      <c r="D672" s="40"/>
      <c r="E672" s="40"/>
      <c r="F672" s="40"/>
      <c r="G672" s="40"/>
      <c r="H672" s="40"/>
      <c r="I672" s="40"/>
      <c r="J672" s="40"/>
      <c r="K672" s="40"/>
      <c r="L672" s="40"/>
      <c r="M672" s="40"/>
      <c r="N672" s="40"/>
      <c r="O672" s="40"/>
      <c r="P672" s="40"/>
      <c r="Q672" s="40"/>
      <c r="R672" s="40"/>
      <c r="S672" s="40"/>
      <c r="T672" s="40"/>
      <c r="U672" s="40"/>
      <c r="V672" s="40"/>
      <c r="W672" s="40"/>
      <c r="X672" s="40"/>
      <c r="Y672" s="40"/>
      <c r="Z672" s="40"/>
      <c r="AA672" s="40"/>
      <c r="AB672" s="40"/>
      <c r="AC672" s="40"/>
      <c r="AD672" s="40"/>
      <c r="AE672" s="40"/>
      <c r="AF672" s="40"/>
      <c r="AG672" s="40"/>
      <c r="AH672" s="40"/>
      <c r="AI672" s="40"/>
      <c r="AJ672" s="40"/>
      <c r="AK672" s="40"/>
      <c r="AL672" s="40"/>
      <c r="AM672" s="40"/>
      <c r="AN672" s="40"/>
      <c r="AO672" s="40"/>
      <c r="AP672" s="40"/>
    </row>
    <row r="673" spans="2:42" x14ac:dyDescent="0.2">
      <c r="B673" s="40"/>
      <c r="C673" s="40"/>
      <c r="D673" s="40"/>
      <c r="E673" s="40"/>
      <c r="F673" s="40"/>
      <c r="G673" s="40"/>
      <c r="H673" s="40"/>
      <c r="I673" s="40"/>
      <c r="J673" s="40"/>
      <c r="K673" s="40"/>
      <c r="L673" s="40"/>
      <c r="M673" s="40"/>
      <c r="N673" s="40"/>
      <c r="O673" s="40"/>
      <c r="P673" s="40"/>
      <c r="Q673" s="40"/>
      <c r="R673" s="40"/>
      <c r="S673" s="40"/>
      <c r="T673" s="40"/>
      <c r="U673" s="40"/>
      <c r="V673" s="40"/>
      <c r="W673" s="40"/>
      <c r="X673" s="40"/>
      <c r="Y673" s="40"/>
      <c r="Z673" s="40"/>
      <c r="AA673" s="40"/>
      <c r="AB673" s="40"/>
      <c r="AC673" s="40"/>
      <c r="AD673" s="40"/>
      <c r="AE673" s="40"/>
      <c r="AF673" s="40"/>
      <c r="AG673" s="40"/>
      <c r="AH673" s="40"/>
      <c r="AI673" s="40"/>
      <c r="AJ673" s="40"/>
      <c r="AK673" s="40"/>
      <c r="AL673" s="40"/>
      <c r="AM673" s="40"/>
      <c r="AN673" s="40"/>
      <c r="AO673" s="40"/>
      <c r="AP673" s="40"/>
    </row>
    <row r="674" spans="2:42" x14ac:dyDescent="0.2">
      <c r="B674" s="40"/>
      <c r="C674" s="40"/>
      <c r="D674" s="40"/>
      <c r="E674" s="40"/>
      <c r="F674" s="40"/>
      <c r="G674" s="40"/>
      <c r="H674" s="40"/>
      <c r="I674" s="40"/>
      <c r="J674" s="40"/>
      <c r="K674" s="40"/>
      <c r="L674" s="40"/>
      <c r="M674" s="40"/>
      <c r="N674" s="40"/>
      <c r="O674" s="40"/>
      <c r="P674" s="40"/>
      <c r="Q674" s="40"/>
      <c r="R674" s="40"/>
      <c r="S674" s="40"/>
      <c r="T674" s="40"/>
      <c r="U674" s="40"/>
      <c r="V674" s="40"/>
      <c r="W674" s="40"/>
      <c r="X674" s="40"/>
      <c r="Y674" s="40"/>
      <c r="Z674" s="40"/>
      <c r="AA674" s="40"/>
      <c r="AB674" s="40"/>
      <c r="AC674" s="40"/>
      <c r="AD674" s="40"/>
      <c r="AE674" s="40"/>
      <c r="AF674" s="40"/>
      <c r="AG674" s="40"/>
      <c r="AH674" s="40"/>
      <c r="AI674" s="40"/>
      <c r="AJ674" s="40"/>
      <c r="AK674" s="40"/>
      <c r="AL674" s="40"/>
      <c r="AM674" s="40"/>
      <c r="AN674" s="40"/>
      <c r="AO674" s="40"/>
      <c r="AP674" s="40"/>
    </row>
    <row r="675" spans="2:42" x14ac:dyDescent="0.2">
      <c r="B675" s="40"/>
      <c r="C675" s="40"/>
      <c r="D675" s="40"/>
      <c r="E675" s="40"/>
      <c r="F675" s="40"/>
      <c r="G675" s="40"/>
      <c r="H675" s="40"/>
      <c r="I675" s="40"/>
      <c r="J675" s="40"/>
      <c r="K675" s="40"/>
      <c r="L675" s="40"/>
      <c r="M675" s="40"/>
      <c r="N675" s="40"/>
      <c r="O675" s="40"/>
      <c r="P675" s="40"/>
      <c r="Q675" s="40"/>
      <c r="R675" s="40"/>
      <c r="S675" s="40"/>
      <c r="T675" s="40"/>
      <c r="U675" s="40"/>
      <c r="V675" s="40"/>
      <c r="W675" s="40"/>
      <c r="X675" s="40"/>
      <c r="Y675" s="40"/>
      <c r="Z675" s="40"/>
      <c r="AA675" s="40"/>
      <c r="AB675" s="40"/>
      <c r="AC675" s="40"/>
      <c r="AD675" s="40"/>
      <c r="AE675" s="40"/>
      <c r="AF675" s="40"/>
      <c r="AG675" s="40"/>
      <c r="AH675" s="40"/>
      <c r="AI675" s="40"/>
      <c r="AJ675" s="40"/>
      <c r="AK675" s="40"/>
      <c r="AL675" s="40"/>
      <c r="AM675" s="40"/>
      <c r="AN675" s="40"/>
      <c r="AO675" s="40"/>
      <c r="AP675" s="40"/>
    </row>
    <row r="676" spans="2:42" x14ac:dyDescent="0.2">
      <c r="B676" s="40"/>
      <c r="C676" s="40"/>
      <c r="D676" s="40"/>
      <c r="E676" s="40"/>
      <c r="F676" s="40"/>
      <c r="G676" s="40"/>
      <c r="H676" s="40"/>
      <c r="I676" s="40"/>
      <c r="J676" s="40"/>
      <c r="K676" s="40"/>
      <c r="L676" s="40"/>
      <c r="M676" s="40"/>
      <c r="N676" s="40"/>
      <c r="O676" s="40"/>
      <c r="P676" s="40"/>
      <c r="Q676" s="40"/>
      <c r="R676" s="40"/>
      <c r="S676" s="40"/>
      <c r="T676" s="40"/>
      <c r="U676" s="40"/>
      <c r="V676" s="40"/>
      <c r="W676" s="40"/>
      <c r="X676" s="40"/>
      <c r="Y676" s="40"/>
      <c r="Z676" s="40"/>
      <c r="AA676" s="40"/>
      <c r="AB676" s="40"/>
      <c r="AC676" s="40"/>
      <c r="AD676" s="40"/>
      <c r="AE676" s="40"/>
      <c r="AF676" s="40"/>
      <c r="AG676" s="40"/>
      <c r="AH676" s="40"/>
      <c r="AI676" s="40"/>
      <c r="AJ676" s="40"/>
      <c r="AK676" s="40"/>
      <c r="AL676" s="40"/>
      <c r="AM676" s="40"/>
      <c r="AN676" s="40"/>
      <c r="AO676" s="40"/>
      <c r="AP676" s="40"/>
    </row>
    <row r="677" spans="2:42" x14ac:dyDescent="0.2">
      <c r="B677" s="40"/>
      <c r="C677" s="40"/>
      <c r="D677" s="40"/>
      <c r="E677" s="40"/>
      <c r="F677" s="40"/>
      <c r="G677" s="40"/>
      <c r="H677" s="40"/>
      <c r="I677" s="40"/>
      <c r="J677" s="40"/>
      <c r="K677" s="40"/>
      <c r="L677" s="40"/>
      <c r="M677" s="40"/>
      <c r="N677" s="40"/>
      <c r="O677" s="40"/>
      <c r="P677" s="40"/>
      <c r="Q677" s="40"/>
      <c r="R677" s="40"/>
      <c r="S677" s="40"/>
      <c r="T677" s="40"/>
      <c r="U677" s="40"/>
      <c r="V677" s="40"/>
      <c r="W677" s="40"/>
      <c r="X677" s="40"/>
      <c r="Y677" s="40"/>
      <c r="Z677" s="40"/>
      <c r="AA677" s="40"/>
      <c r="AB677" s="40"/>
      <c r="AC677" s="40"/>
      <c r="AD677" s="40"/>
      <c r="AE677" s="40"/>
      <c r="AF677" s="40"/>
      <c r="AG677" s="40"/>
      <c r="AH677" s="40"/>
      <c r="AI677" s="40"/>
      <c r="AJ677" s="40"/>
      <c r="AK677" s="40"/>
      <c r="AL677" s="40"/>
      <c r="AM677" s="40"/>
      <c r="AN677" s="40"/>
      <c r="AO677" s="40"/>
      <c r="AP677" s="40"/>
    </row>
    <row r="678" spans="2:42" x14ac:dyDescent="0.2">
      <c r="B678" s="40"/>
      <c r="C678" s="40"/>
      <c r="D678" s="40"/>
      <c r="E678" s="40"/>
      <c r="F678" s="40"/>
      <c r="G678" s="40"/>
      <c r="H678" s="40"/>
      <c r="I678" s="40"/>
      <c r="J678" s="40"/>
      <c r="K678" s="40"/>
      <c r="L678" s="40"/>
      <c r="M678" s="40"/>
      <c r="N678" s="40"/>
      <c r="O678" s="40"/>
      <c r="P678" s="40"/>
      <c r="Q678" s="40"/>
      <c r="R678" s="40"/>
      <c r="S678" s="40"/>
      <c r="T678" s="40"/>
      <c r="U678" s="40"/>
      <c r="V678" s="40"/>
      <c r="W678" s="40"/>
      <c r="X678" s="40"/>
      <c r="Y678" s="40"/>
      <c r="Z678" s="40"/>
      <c r="AA678" s="40"/>
      <c r="AB678" s="40"/>
      <c r="AC678" s="40"/>
      <c r="AD678" s="40"/>
      <c r="AE678" s="40"/>
      <c r="AF678" s="40"/>
      <c r="AG678" s="40"/>
      <c r="AH678" s="40"/>
      <c r="AI678" s="40"/>
      <c r="AJ678" s="40"/>
      <c r="AK678" s="40"/>
      <c r="AL678" s="40"/>
      <c r="AM678" s="40"/>
      <c r="AN678" s="40"/>
      <c r="AO678" s="40"/>
      <c r="AP678" s="40"/>
    </row>
    <row r="679" spans="2:42" x14ac:dyDescent="0.2">
      <c r="B679" s="40"/>
      <c r="C679" s="40"/>
      <c r="D679" s="40"/>
      <c r="E679" s="40"/>
      <c r="F679" s="40"/>
      <c r="G679" s="40"/>
      <c r="H679" s="40"/>
      <c r="I679" s="40"/>
      <c r="J679" s="40"/>
      <c r="K679" s="40"/>
      <c r="L679" s="40"/>
      <c r="M679" s="40"/>
      <c r="N679" s="40"/>
      <c r="O679" s="40"/>
      <c r="P679" s="40"/>
      <c r="Q679" s="40"/>
      <c r="R679" s="40"/>
      <c r="S679" s="40"/>
      <c r="T679" s="40"/>
      <c r="U679" s="40"/>
      <c r="V679" s="40"/>
      <c r="W679" s="40"/>
      <c r="X679" s="40"/>
      <c r="Y679" s="40"/>
      <c r="Z679" s="40"/>
      <c r="AA679" s="40"/>
      <c r="AB679" s="40"/>
      <c r="AC679" s="40"/>
      <c r="AD679" s="40"/>
      <c r="AE679" s="40"/>
      <c r="AF679" s="40"/>
      <c r="AG679" s="40"/>
      <c r="AH679" s="40"/>
      <c r="AI679" s="40"/>
      <c r="AJ679" s="40"/>
      <c r="AK679" s="40"/>
      <c r="AL679" s="40"/>
      <c r="AM679" s="40"/>
      <c r="AN679" s="40"/>
      <c r="AO679" s="40"/>
      <c r="AP679" s="40"/>
    </row>
    <row r="680" spans="2:42" x14ac:dyDescent="0.2">
      <c r="B680" s="40"/>
      <c r="C680" s="40"/>
      <c r="D680" s="40"/>
      <c r="E680" s="40"/>
      <c r="F680" s="40"/>
      <c r="G680" s="40"/>
      <c r="H680" s="40"/>
      <c r="I680" s="40"/>
      <c r="J680" s="40"/>
      <c r="K680" s="40"/>
      <c r="L680" s="40"/>
      <c r="M680" s="40"/>
      <c r="N680" s="40"/>
      <c r="O680" s="40"/>
      <c r="P680" s="40"/>
      <c r="Q680" s="40"/>
      <c r="R680" s="40"/>
      <c r="S680" s="40"/>
      <c r="T680" s="40"/>
      <c r="U680" s="40"/>
      <c r="V680" s="40"/>
      <c r="W680" s="40"/>
      <c r="X680" s="40"/>
      <c r="Y680" s="40"/>
      <c r="Z680" s="40"/>
      <c r="AA680" s="40"/>
      <c r="AB680" s="40"/>
      <c r="AC680" s="40"/>
      <c r="AD680" s="40"/>
      <c r="AE680" s="40"/>
      <c r="AF680" s="40"/>
      <c r="AG680" s="40"/>
      <c r="AH680" s="40"/>
      <c r="AI680" s="40"/>
      <c r="AJ680" s="40"/>
      <c r="AK680" s="40"/>
      <c r="AL680" s="40"/>
      <c r="AM680" s="40"/>
      <c r="AN680" s="40"/>
      <c r="AO680" s="40"/>
      <c r="AP680" s="40"/>
    </row>
    <row r="681" spans="2:42" x14ac:dyDescent="0.2">
      <c r="B681" s="40"/>
      <c r="C681" s="40"/>
      <c r="D681" s="40"/>
      <c r="E681" s="40"/>
      <c r="F681" s="40"/>
      <c r="G681" s="40"/>
      <c r="H681" s="40"/>
      <c r="I681" s="40"/>
      <c r="J681" s="40"/>
      <c r="K681" s="40"/>
      <c r="L681" s="40"/>
      <c r="M681" s="40"/>
      <c r="N681" s="40"/>
      <c r="O681" s="40"/>
      <c r="P681" s="40"/>
      <c r="Q681" s="40"/>
      <c r="R681" s="40"/>
      <c r="S681" s="40"/>
      <c r="T681" s="40"/>
      <c r="U681" s="40"/>
      <c r="V681" s="40"/>
      <c r="W681" s="40"/>
      <c r="X681" s="40"/>
      <c r="Y681" s="40"/>
      <c r="Z681" s="40"/>
      <c r="AA681" s="40"/>
      <c r="AB681" s="40"/>
      <c r="AC681" s="40"/>
      <c r="AD681" s="40"/>
      <c r="AE681" s="40"/>
      <c r="AF681" s="40"/>
      <c r="AG681" s="40"/>
      <c r="AH681" s="40"/>
      <c r="AI681" s="40"/>
      <c r="AJ681" s="40"/>
      <c r="AK681" s="40"/>
      <c r="AL681" s="40"/>
      <c r="AM681" s="40"/>
      <c r="AN681" s="40"/>
      <c r="AO681" s="40"/>
      <c r="AP681" s="40"/>
    </row>
    <row r="682" spans="2:42" x14ac:dyDescent="0.2">
      <c r="B682" s="40"/>
      <c r="C682" s="40"/>
      <c r="D682" s="40"/>
      <c r="E682" s="40"/>
      <c r="F682" s="40"/>
      <c r="G682" s="40"/>
      <c r="H682" s="40"/>
      <c r="I682" s="40"/>
      <c r="J682" s="40"/>
      <c r="K682" s="40"/>
      <c r="L682" s="40"/>
      <c r="M682" s="40"/>
      <c r="N682" s="40"/>
      <c r="O682" s="40"/>
      <c r="P682" s="40"/>
      <c r="Q682" s="40"/>
      <c r="R682" s="40"/>
      <c r="S682" s="40"/>
      <c r="T682" s="40"/>
      <c r="U682" s="40"/>
      <c r="V682" s="40"/>
      <c r="W682" s="40"/>
      <c r="X682" s="40"/>
      <c r="Y682" s="40"/>
      <c r="Z682" s="40"/>
      <c r="AA682" s="40"/>
      <c r="AB682" s="40"/>
      <c r="AC682" s="40"/>
      <c r="AD682" s="40"/>
      <c r="AE682" s="40"/>
      <c r="AF682" s="40"/>
      <c r="AG682" s="40"/>
      <c r="AH682" s="40"/>
      <c r="AI682" s="40"/>
      <c r="AJ682" s="40"/>
      <c r="AK682" s="40"/>
      <c r="AL682" s="40"/>
      <c r="AM682" s="40"/>
      <c r="AN682" s="40"/>
      <c r="AO682" s="40"/>
      <c r="AP682" s="40"/>
    </row>
    <row r="683" spans="2:42" x14ac:dyDescent="0.2">
      <c r="B683" s="40"/>
      <c r="C683" s="40"/>
      <c r="D683" s="40"/>
      <c r="E683" s="40"/>
      <c r="F683" s="40"/>
      <c r="G683" s="40"/>
      <c r="H683" s="40"/>
      <c r="I683" s="40"/>
      <c r="J683" s="40"/>
      <c r="K683" s="40"/>
      <c r="L683" s="40"/>
      <c r="M683" s="40"/>
      <c r="N683" s="40"/>
      <c r="O683" s="40"/>
      <c r="P683" s="40"/>
      <c r="Q683" s="40"/>
      <c r="R683" s="40"/>
      <c r="S683" s="40"/>
      <c r="T683" s="40"/>
      <c r="U683" s="40"/>
      <c r="V683" s="40"/>
      <c r="W683" s="40"/>
      <c r="X683" s="40"/>
      <c r="Y683" s="40"/>
      <c r="Z683" s="40"/>
      <c r="AA683" s="40"/>
      <c r="AB683" s="40"/>
      <c r="AC683" s="40"/>
      <c r="AD683" s="40"/>
      <c r="AE683" s="40"/>
      <c r="AF683" s="40"/>
      <c r="AG683" s="40"/>
      <c r="AH683" s="40"/>
      <c r="AI683" s="40"/>
      <c r="AJ683" s="40"/>
      <c r="AK683" s="40"/>
      <c r="AL683" s="40"/>
      <c r="AM683" s="40"/>
      <c r="AN683" s="40"/>
      <c r="AO683" s="40"/>
      <c r="AP683" s="40"/>
    </row>
    <row r="684" spans="2:42" x14ac:dyDescent="0.2">
      <c r="B684" s="40"/>
      <c r="C684" s="40"/>
      <c r="D684" s="40"/>
      <c r="E684" s="40"/>
      <c r="F684" s="40"/>
      <c r="G684" s="40"/>
      <c r="H684" s="40"/>
      <c r="I684" s="40"/>
      <c r="J684" s="40"/>
      <c r="K684" s="40"/>
      <c r="L684" s="40"/>
      <c r="M684" s="40"/>
      <c r="N684" s="40"/>
      <c r="O684" s="40"/>
      <c r="P684" s="40"/>
      <c r="Q684" s="40"/>
      <c r="R684" s="40"/>
      <c r="S684" s="40"/>
      <c r="T684" s="40"/>
      <c r="U684" s="40"/>
      <c r="V684" s="40"/>
      <c r="W684" s="40"/>
      <c r="X684" s="40"/>
      <c r="Y684" s="40"/>
      <c r="Z684" s="40"/>
      <c r="AA684" s="40"/>
      <c r="AB684" s="40"/>
      <c r="AC684" s="40"/>
      <c r="AD684" s="40"/>
      <c r="AE684" s="40"/>
      <c r="AF684" s="40"/>
      <c r="AG684" s="40"/>
      <c r="AH684" s="40"/>
      <c r="AI684" s="40"/>
      <c r="AJ684" s="40"/>
      <c r="AK684" s="40"/>
      <c r="AL684" s="40"/>
      <c r="AM684" s="40"/>
      <c r="AN684" s="40"/>
      <c r="AO684" s="40"/>
      <c r="AP684" s="40"/>
    </row>
    <row r="685" spans="2:42" x14ac:dyDescent="0.2">
      <c r="B685" s="40"/>
      <c r="C685" s="40"/>
      <c r="D685" s="40"/>
      <c r="E685" s="40"/>
      <c r="F685" s="40"/>
      <c r="G685" s="40"/>
      <c r="H685" s="40"/>
      <c r="I685" s="40"/>
      <c r="J685" s="40"/>
      <c r="K685" s="40"/>
      <c r="L685" s="40"/>
      <c r="M685" s="40"/>
      <c r="N685" s="40"/>
      <c r="O685" s="40"/>
      <c r="P685" s="40"/>
      <c r="Q685" s="40"/>
      <c r="R685" s="40"/>
      <c r="S685" s="40"/>
      <c r="T685" s="40"/>
      <c r="U685" s="40"/>
      <c r="V685" s="40"/>
      <c r="W685" s="40"/>
      <c r="X685" s="40"/>
      <c r="Y685" s="40"/>
      <c r="Z685" s="40"/>
      <c r="AA685" s="40"/>
      <c r="AB685" s="40"/>
      <c r="AC685" s="40"/>
      <c r="AD685" s="40"/>
      <c r="AE685" s="40"/>
      <c r="AF685" s="40"/>
      <c r="AG685" s="40"/>
      <c r="AH685" s="40"/>
      <c r="AI685" s="40"/>
      <c r="AJ685" s="40"/>
      <c r="AK685" s="40"/>
      <c r="AL685" s="40"/>
      <c r="AM685" s="40"/>
      <c r="AN685" s="40"/>
      <c r="AO685" s="40"/>
      <c r="AP685" s="40"/>
    </row>
    <row r="686" spans="2:42" x14ac:dyDescent="0.2">
      <c r="B686" s="40"/>
      <c r="C686" s="40"/>
      <c r="D686" s="40"/>
      <c r="E686" s="40"/>
      <c r="F686" s="40"/>
      <c r="G686" s="40"/>
      <c r="H686" s="40"/>
      <c r="I686" s="40"/>
      <c r="J686" s="40"/>
      <c r="K686" s="40"/>
      <c r="L686" s="40"/>
      <c r="M686" s="40"/>
      <c r="N686" s="40"/>
      <c r="O686" s="40"/>
      <c r="P686" s="40"/>
      <c r="Q686" s="40"/>
      <c r="R686" s="40"/>
      <c r="S686" s="40"/>
      <c r="T686" s="40"/>
      <c r="U686" s="40"/>
      <c r="V686" s="40"/>
      <c r="W686" s="40"/>
      <c r="X686" s="40"/>
      <c r="Y686" s="40"/>
      <c r="Z686" s="40"/>
      <c r="AA686" s="40"/>
      <c r="AB686" s="40"/>
      <c r="AC686" s="40"/>
      <c r="AD686" s="40"/>
      <c r="AE686" s="40"/>
      <c r="AF686" s="40"/>
      <c r="AG686" s="40"/>
      <c r="AH686" s="40"/>
      <c r="AI686" s="40"/>
      <c r="AJ686" s="40"/>
      <c r="AK686" s="40"/>
      <c r="AL686" s="40"/>
      <c r="AM686" s="40"/>
      <c r="AN686" s="40"/>
      <c r="AO686" s="40"/>
      <c r="AP686" s="40"/>
    </row>
    <row r="687" spans="2:42" x14ac:dyDescent="0.2">
      <c r="B687" s="40"/>
      <c r="C687" s="40"/>
      <c r="D687" s="40"/>
      <c r="E687" s="40"/>
      <c r="F687" s="40"/>
      <c r="G687" s="40"/>
      <c r="H687" s="40"/>
      <c r="I687" s="40"/>
      <c r="J687" s="40"/>
      <c r="K687" s="40"/>
      <c r="L687" s="40"/>
      <c r="M687" s="40"/>
      <c r="N687" s="40"/>
      <c r="O687" s="40"/>
      <c r="P687" s="40"/>
      <c r="Q687" s="40"/>
      <c r="R687" s="40"/>
      <c r="S687" s="40"/>
      <c r="T687" s="40"/>
      <c r="U687" s="40"/>
      <c r="V687" s="40"/>
      <c r="W687" s="40"/>
      <c r="X687" s="40"/>
      <c r="Y687" s="40"/>
      <c r="Z687" s="40"/>
      <c r="AA687" s="40"/>
      <c r="AB687" s="40"/>
      <c r="AC687" s="40"/>
      <c r="AD687" s="40"/>
      <c r="AE687" s="40"/>
      <c r="AF687" s="40"/>
      <c r="AG687" s="40"/>
      <c r="AH687" s="40"/>
      <c r="AI687" s="40"/>
      <c r="AJ687" s="40"/>
      <c r="AK687" s="40"/>
      <c r="AL687" s="40"/>
      <c r="AM687" s="40"/>
      <c r="AN687" s="40"/>
      <c r="AO687" s="40"/>
      <c r="AP687" s="40"/>
    </row>
    <row r="688" spans="2:42" x14ac:dyDescent="0.2">
      <c r="B688" s="40"/>
      <c r="C688" s="40"/>
      <c r="D688" s="40"/>
      <c r="E688" s="40"/>
      <c r="F688" s="40"/>
      <c r="G688" s="40"/>
      <c r="H688" s="40"/>
      <c r="I688" s="40"/>
      <c r="J688" s="40"/>
      <c r="K688" s="40"/>
      <c r="L688" s="40"/>
      <c r="M688" s="40"/>
      <c r="N688" s="40"/>
      <c r="O688" s="40"/>
      <c r="P688" s="40"/>
      <c r="Q688" s="40"/>
      <c r="R688" s="40"/>
      <c r="S688" s="40"/>
      <c r="T688" s="40"/>
      <c r="U688" s="40"/>
      <c r="V688" s="40"/>
      <c r="W688" s="40"/>
      <c r="X688" s="40"/>
      <c r="Y688" s="40"/>
      <c r="Z688" s="40"/>
      <c r="AA688" s="40"/>
      <c r="AB688" s="40"/>
      <c r="AC688" s="40"/>
      <c r="AD688" s="40"/>
      <c r="AE688" s="40"/>
      <c r="AF688" s="40"/>
      <c r="AG688" s="40"/>
      <c r="AH688" s="40"/>
      <c r="AI688" s="40"/>
      <c r="AJ688" s="40"/>
      <c r="AK688" s="40"/>
      <c r="AL688" s="40"/>
      <c r="AM688" s="40"/>
      <c r="AN688" s="40"/>
      <c r="AO688" s="40"/>
      <c r="AP688" s="40"/>
    </row>
    <row r="689" spans="2:42" x14ac:dyDescent="0.2">
      <c r="B689" s="40"/>
      <c r="C689" s="40"/>
      <c r="D689" s="40"/>
      <c r="E689" s="40"/>
      <c r="F689" s="40"/>
      <c r="G689" s="40"/>
      <c r="H689" s="40"/>
      <c r="I689" s="40"/>
      <c r="J689" s="40"/>
      <c r="K689" s="40"/>
      <c r="L689" s="40"/>
      <c r="M689" s="40"/>
      <c r="N689" s="40"/>
      <c r="O689" s="40"/>
      <c r="P689" s="40"/>
      <c r="Q689" s="40"/>
      <c r="R689" s="40"/>
      <c r="S689" s="40"/>
      <c r="T689" s="40"/>
      <c r="U689" s="40"/>
      <c r="V689" s="40"/>
      <c r="W689" s="40"/>
      <c r="X689" s="40"/>
      <c r="Y689" s="40"/>
      <c r="Z689" s="40"/>
      <c r="AA689" s="40"/>
      <c r="AB689" s="40"/>
      <c r="AC689" s="40"/>
      <c r="AD689" s="40"/>
      <c r="AE689" s="40"/>
      <c r="AF689" s="40"/>
      <c r="AG689" s="40"/>
      <c r="AH689" s="40"/>
      <c r="AI689" s="40"/>
      <c r="AJ689" s="40"/>
      <c r="AK689" s="40"/>
      <c r="AL689" s="40"/>
      <c r="AM689" s="40"/>
      <c r="AN689" s="40"/>
      <c r="AO689" s="40"/>
      <c r="AP689" s="40"/>
    </row>
    <row r="690" spans="2:42" x14ac:dyDescent="0.2">
      <c r="B690" s="40"/>
      <c r="C690" s="40"/>
      <c r="D690" s="40"/>
      <c r="E690" s="40"/>
      <c r="F690" s="40"/>
      <c r="G690" s="40"/>
      <c r="H690" s="40"/>
      <c r="I690" s="40"/>
      <c r="J690" s="40"/>
      <c r="K690" s="40"/>
      <c r="L690" s="40"/>
      <c r="M690" s="40"/>
      <c r="N690" s="40"/>
      <c r="O690" s="40"/>
      <c r="P690" s="40"/>
      <c r="Q690" s="40"/>
      <c r="R690" s="40"/>
      <c r="S690" s="40"/>
      <c r="T690" s="40"/>
      <c r="U690" s="40"/>
      <c r="V690" s="40"/>
      <c r="W690" s="40"/>
      <c r="X690" s="40"/>
      <c r="Y690" s="40"/>
      <c r="Z690" s="40"/>
      <c r="AA690" s="40"/>
      <c r="AB690" s="40"/>
      <c r="AC690" s="40"/>
      <c r="AD690" s="40"/>
      <c r="AE690" s="40"/>
      <c r="AF690" s="40"/>
      <c r="AG690" s="40"/>
      <c r="AH690" s="40"/>
      <c r="AI690" s="40"/>
      <c r="AJ690" s="40"/>
      <c r="AK690" s="40"/>
      <c r="AL690" s="40"/>
      <c r="AM690" s="40"/>
      <c r="AN690" s="40"/>
      <c r="AO690" s="40"/>
      <c r="AP690" s="40"/>
    </row>
    <row r="691" spans="2:42" x14ac:dyDescent="0.2">
      <c r="B691" s="40"/>
      <c r="C691" s="40"/>
      <c r="D691" s="40"/>
      <c r="E691" s="40"/>
      <c r="F691" s="40"/>
      <c r="G691" s="40"/>
      <c r="H691" s="40"/>
      <c r="I691" s="40"/>
      <c r="J691" s="40"/>
      <c r="K691" s="40"/>
      <c r="L691" s="40"/>
      <c r="M691" s="40"/>
      <c r="N691" s="40"/>
      <c r="O691" s="40"/>
      <c r="P691" s="40"/>
      <c r="Q691" s="40"/>
      <c r="R691" s="40"/>
      <c r="S691" s="40"/>
      <c r="T691" s="40"/>
      <c r="U691" s="40"/>
      <c r="V691" s="40"/>
      <c r="W691" s="40"/>
      <c r="X691" s="40"/>
      <c r="Y691" s="40"/>
      <c r="Z691" s="40"/>
      <c r="AA691" s="40"/>
      <c r="AB691" s="40"/>
      <c r="AC691" s="40"/>
      <c r="AD691" s="40"/>
      <c r="AE691" s="40"/>
      <c r="AF691" s="40"/>
      <c r="AG691" s="40"/>
      <c r="AH691" s="40"/>
      <c r="AI691" s="40"/>
      <c r="AJ691" s="40"/>
      <c r="AK691" s="40"/>
      <c r="AL691" s="40"/>
      <c r="AM691" s="40"/>
      <c r="AN691" s="40"/>
      <c r="AO691" s="40"/>
      <c r="AP691" s="40"/>
    </row>
    <row r="692" spans="2:42" x14ac:dyDescent="0.2">
      <c r="B692" s="40"/>
      <c r="C692" s="40"/>
      <c r="D692" s="40"/>
      <c r="E692" s="40"/>
      <c r="F692" s="40"/>
      <c r="G692" s="40"/>
      <c r="H692" s="40"/>
      <c r="I692" s="40"/>
      <c r="J692" s="40"/>
      <c r="K692" s="40"/>
      <c r="L692" s="40"/>
      <c r="M692" s="40"/>
      <c r="N692" s="40"/>
      <c r="O692" s="40"/>
      <c r="P692" s="40"/>
      <c r="Q692" s="40"/>
      <c r="R692" s="40"/>
      <c r="S692" s="40"/>
      <c r="T692" s="40"/>
      <c r="U692" s="40"/>
      <c r="V692" s="40"/>
      <c r="W692" s="40"/>
      <c r="X692" s="40"/>
      <c r="Y692" s="40"/>
      <c r="Z692" s="40"/>
      <c r="AA692" s="40"/>
      <c r="AB692" s="40"/>
      <c r="AC692" s="40"/>
      <c r="AD692" s="40"/>
      <c r="AE692" s="40"/>
      <c r="AF692" s="40"/>
      <c r="AG692" s="40"/>
      <c r="AH692" s="40"/>
      <c r="AI692" s="40"/>
      <c r="AJ692" s="40"/>
      <c r="AK692" s="40"/>
      <c r="AL692" s="40"/>
      <c r="AM692" s="40"/>
      <c r="AN692" s="40"/>
      <c r="AO692" s="40"/>
      <c r="AP692" s="40"/>
    </row>
    <row r="693" spans="2:42" x14ac:dyDescent="0.2">
      <c r="B693" s="40"/>
      <c r="C693" s="40"/>
      <c r="D693" s="40"/>
      <c r="E693" s="40"/>
      <c r="F693" s="40"/>
      <c r="G693" s="40"/>
      <c r="H693" s="40"/>
      <c r="I693" s="40"/>
      <c r="J693" s="40"/>
      <c r="K693" s="40"/>
      <c r="L693" s="40"/>
      <c r="M693" s="40"/>
      <c r="N693" s="40"/>
      <c r="O693" s="40"/>
      <c r="P693" s="40"/>
      <c r="Q693" s="40"/>
      <c r="R693" s="40"/>
      <c r="S693" s="40"/>
      <c r="T693" s="40"/>
      <c r="U693" s="40"/>
      <c r="V693" s="40"/>
      <c r="W693" s="40"/>
      <c r="X693" s="40"/>
      <c r="Y693" s="40"/>
      <c r="Z693" s="40"/>
      <c r="AA693" s="40"/>
      <c r="AB693" s="40"/>
      <c r="AC693" s="40"/>
      <c r="AD693" s="40"/>
      <c r="AE693" s="40"/>
      <c r="AF693" s="40"/>
      <c r="AG693" s="40"/>
      <c r="AH693" s="40"/>
      <c r="AI693" s="40"/>
      <c r="AJ693" s="40"/>
      <c r="AK693" s="40"/>
      <c r="AL693" s="40"/>
      <c r="AM693" s="40"/>
      <c r="AN693" s="40"/>
      <c r="AO693" s="40"/>
      <c r="AP693" s="40"/>
    </row>
    <row r="694" spans="2:42" x14ac:dyDescent="0.2">
      <c r="B694" s="40"/>
      <c r="C694" s="40"/>
      <c r="D694" s="40"/>
      <c r="E694" s="40"/>
      <c r="F694" s="40"/>
      <c r="G694" s="40"/>
      <c r="H694" s="40"/>
      <c r="I694" s="40"/>
      <c r="J694" s="40"/>
      <c r="K694" s="40"/>
      <c r="L694" s="40"/>
      <c r="M694" s="40"/>
      <c r="N694" s="40"/>
      <c r="O694" s="40"/>
      <c r="P694" s="40"/>
      <c r="Q694" s="40"/>
      <c r="R694" s="40"/>
      <c r="S694" s="40"/>
      <c r="T694" s="40"/>
      <c r="U694" s="40"/>
      <c r="V694" s="40"/>
      <c r="W694" s="40"/>
      <c r="X694" s="40"/>
      <c r="Y694" s="40"/>
      <c r="Z694" s="40"/>
      <c r="AA694" s="40"/>
      <c r="AB694" s="40"/>
      <c r="AC694" s="40"/>
      <c r="AD694" s="40"/>
      <c r="AE694" s="40"/>
      <c r="AF694" s="40"/>
      <c r="AG694" s="40"/>
      <c r="AH694" s="40"/>
      <c r="AI694" s="40"/>
      <c r="AJ694" s="40"/>
      <c r="AK694" s="40"/>
      <c r="AL694" s="40"/>
      <c r="AM694" s="40"/>
      <c r="AN694" s="40"/>
      <c r="AO694" s="40"/>
      <c r="AP694" s="40"/>
    </row>
    <row r="695" spans="2:42" x14ac:dyDescent="0.2">
      <c r="B695" s="40"/>
      <c r="C695" s="40"/>
      <c r="D695" s="40"/>
      <c r="E695" s="40"/>
      <c r="F695" s="40"/>
      <c r="G695" s="40"/>
      <c r="H695" s="40"/>
      <c r="I695" s="40"/>
      <c r="J695" s="40"/>
      <c r="K695" s="40"/>
      <c r="L695" s="40"/>
      <c r="M695" s="40"/>
      <c r="N695" s="40"/>
      <c r="O695" s="40"/>
      <c r="P695" s="40"/>
      <c r="Q695" s="40"/>
      <c r="R695" s="40"/>
      <c r="S695" s="40"/>
      <c r="T695" s="40"/>
      <c r="U695" s="40"/>
      <c r="V695" s="40"/>
      <c r="W695" s="40"/>
      <c r="X695" s="40"/>
      <c r="Y695" s="40"/>
      <c r="Z695" s="40"/>
      <c r="AA695" s="40"/>
      <c r="AB695" s="40"/>
      <c r="AC695" s="40"/>
      <c r="AD695" s="40"/>
      <c r="AE695" s="40"/>
      <c r="AF695" s="40"/>
      <c r="AG695" s="40"/>
      <c r="AH695" s="40"/>
      <c r="AI695" s="40"/>
      <c r="AJ695" s="40"/>
      <c r="AK695" s="40"/>
      <c r="AL695" s="40"/>
      <c r="AM695" s="40"/>
      <c r="AN695" s="40"/>
      <c r="AO695" s="40"/>
      <c r="AP695" s="40"/>
    </row>
    <row r="696" spans="2:42" x14ac:dyDescent="0.2">
      <c r="B696" s="40"/>
      <c r="C696" s="40"/>
      <c r="D696" s="40"/>
      <c r="E696" s="40"/>
      <c r="F696" s="40"/>
      <c r="G696" s="40"/>
      <c r="H696" s="40"/>
      <c r="I696" s="40"/>
      <c r="J696" s="40"/>
      <c r="K696" s="40"/>
      <c r="L696" s="40"/>
      <c r="M696" s="40"/>
      <c r="N696" s="40"/>
      <c r="O696" s="40"/>
      <c r="P696" s="40"/>
      <c r="Q696" s="40"/>
      <c r="R696" s="40"/>
      <c r="S696" s="40"/>
      <c r="T696" s="40"/>
      <c r="U696" s="40"/>
      <c r="V696" s="40"/>
      <c r="W696" s="40"/>
      <c r="X696" s="40"/>
      <c r="Y696" s="40"/>
      <c r="Z696" s="40"/>
      <c r="AA696" s="40"/>
      <c r="AB696" s="40"/>
      <c r="AC696" s="40"/>
      <c r="AD696" s="40"/>
      <c r="AE696" s="40"/>
      <c r="AF696" s="40"/>
      <c r="AG696" s="40"/>
      <c r="AH696" s="40"/>
      <c r="AI696" s="40"/>
      <c r="AJ696" s="40"/>
      <c r="AK696" s="40"/>
      <c r="AL696" s="40"/>
      <c r="AM696" s="40"/>
      <c r="AN696" s="40"/>
      <c r="AO696" s="40"/>
      <c r="AP696" s="40"/>
    </row>
    <row r="697" spans="2:42" x14ac:dyDescent="0.2">
      <c r="B697" s="40"/>
      <c r="C697" s="40"/>
      <c r="D697" s="40"/>
      <c r="E697" s="40"/>
      <c r="F697" s="40"/>
      <c r="G697" s="40"/>
      <c r="H697" s="40"/>
      <c r="I697" s="40"/>
      <c r="J697" s="40"/>
      <c r="K697" s="40"/>
      <c r="L697" s="40"/>
      <c r="M697" s="40"/>
      <c r="N697" s="40"/>
      <c r="O697" s="40"/>
      <c r="P697" s="40"/>
      <c r="Q697" s="40"/>
      <c r="R697" s="40"/>
      <c r="S697" s="40"/>
      <c r="T697" s="40"/>
      <c r="U697" s="40"/>
      <c r="V697" s="40"/>
      <c r="W697" s="40"/>
      <c r="X697" s="40"/>
      <c r="Y697" s="40"/>
      <c r="Z697" s="40"/>
      <c r="AA697" s="40"/>
      <c r="AB697" s="40"/>
      <c r="AC697" s="40"/>
      <c r="AD697" s="40"/>
      <c r="AE697" s="40"/>
      <c r="AF697" s="40"/>
      <c r="AG697" s="40"/>
      <c r="AH697" s="40"/>
      <c r="AI697" s="40"/>
      <c r="AJ697" s="40"/>
      <c r="AK697" s="40"/>
      <c r="AL697" s="40"/>
      <c r="AM697" s="40"/>
      <c r="AN697" s="40"/>
      <c r="AO697" s="40"/>
      <c r="AP697" s="40"/>
    </row>
    <row r="698" spans="2:42" x14ac:dyDescent="0.2">
      <c r="B698" s="40"/>
      <c r="C698" s="40"/>
      <c r="D698" s="40"/>
      <c r="E698" s="40"/>
      <c r="F698" s="40"/>
      <c r="G698" s="40"/>
      <c r="H698" s="40"/>
      <c r="I698" s="40"/>
      <c r="J698" s="40"/>
      <c r="K698" s="40"/>
      <c r="L698" s="40"/>
      <c r="M698" s="40"/>
      <c r="N698" s="40"/>
      <c r="O698" s="40"/>
      <c r="P698" s="40"/>
      <c r="Q698" s="40"/>
      <c r="R698" s="40"/>
      <c r="S698" s="40"/>
      <c r="T698" s="40"/>
      <c r="U698" s="40"/>
      <c r="V698" s="40"/>
      <c r="W698" s="40"/>
      <c r="X698" s="40"/>
      <c r="Y698" s="40"/>
      <c r="Z698" s="40"/>
      <c r="AA698" s="40"/>
      <c r="AB698" s="40"/>
      <c r="AC698" s="40"/>
      <c r="AD698" s="40"/>
      <c r="AE698" s="40"/>
      <c r="AF698" s="40"/>
      <c r="AG698" s="40"/>
      <c r="AH698" s="40"/>
      <c r="AI698" s="40"/>
      <c r="AJ698" s="40"/>
      <c r="AK698" s="40"/>
      <c r="AL698" s="40"/>
      <c r="AM698" s="40"/>
      <c r="AN698" s="40"/>
      <c r="AO698" s="40"/>
      <c r="AP698" s="40"/>
    </row>
    <row r="699" spans="2:42" x14ac:dyDescent="0.2">
      <c r="B699" s="40"/>
      <c r="C699" s="40"/>
      <c r="D699" s="40"/>
      <c r="E699" s="40"/>
      <c r="F699" s="40"/>
      <c r="G699" s="40"/>
      <c r="H699" s="40"/>
      <c r="I699" s="40"/>
      <c r="J699" s="40"/>
      <c r="K699" s="40"/>
      <c r="L699" s="40"/>
      <c r="M699" s="40"/>
      <c r="N699" s="40"/>
      <c r="O699" s="40"/>
      <c r="P699" s="40"/>
      <c r="Q699" s="40"/>
      <c r="R699" s="40"/>
      <c r="S699" s="40"/>
      <c r="T699" s="40"/>
      <c r="U699" s="40"/>
      <c r="V699" s="40"/>
      <c r="W699" s="40"/>
      <c r="X699" s="40"/>
      <c r="Y699" s="40"/>
      <c r="Z699" s="40"/>
      <c r="AA699" s="40"/>
      <c r="AB699" s="40"/>
      <c r="AC699" s="40"/>
      <c r="AD699" s="40"/>
      <c r="AE699" s="40"/>
      <c r="AF699" s="40"/>
      <c r="AG699" s="40"/>
      <c r="AH699" s="40"/>
      <c r="AI699" s="40"/>
      <c r="AJ699" s="40"/>
      <c r="AK699" s="40"/>
      <c r="AL699" s="40"/>
      <c r="AM699" s="40"/>
      <c r="AN699" s="40"/>
      <c r="AO699" s="40"/>
      <c r="AP699" s="40"/>
    </row>
    <row r="700" spans="2:42" x14ac:dyDescent="0.2">
      <c r="B700" s="40"/>
      <c r="C700" s="40"/>
      <c r="D700" s="40"/>
      <c r="E700" s="40"/>
      <c r="F700" s="40"/>
      <c r="G700" s="40"/>
      <c r="H700" s="40"/>
      <c r="I700" s="40"/>
      <c r="J700" s="40"/>
      <c r="K700" s="40"/>
      <c r="L700" s="40"/>
      <c r="M700" s="40"/>
      <c r="N700" s="40"/>
      <c r="O700" s="40"/>
      <c r="P700" s="40"/>
      <c r="Q700" s="40"/>
      <c r="R700" s="40"/>
      <c r="S700" s="40"/>
      <c r="T700" s="40"/>
      <c r="U700" s="40"/>
      <c r="V700" s="40"/>
      <c r="W700" s="40"/>
      <c r="X700" s="40"/>
      <c r="Y700" s="40"/>
      <c r="Z700" s="40"/>
      <c r="AA700" s="40"/>
      <c r="AB700" s="40"/>
      <c r="AC700" s="40"/>
      <c r="AD700" s="40"/>
      <c r="AE700" s="40"/>
      <c r="AF700" s="40"/>
      <c r="AG700" s="40"/>
      <c r="AH700" s="40"/>
      <c r="AI700" s="40"/>
      <c r="AJ700" s="40"/>
      <c r="AK700" s="40"/>
      <c r="AL700" s="40"/>
      <c r="AM700" s="40"/>
      <c r="AN700" s="40"/>
      <c r="AO700" s="40"/>
      <c r="AP700" s="40"/>
    </row>
    <row r="701" spans="2:42" x14ac:dyDescent="0.2">
      <c r="B701" s="40"/>
      <c r="C701" s="40"/>
      <c r="D701" s="40"/>
      <c r="E701" s="40"/>
      <c r="F701" s="40"/>
      <c r="G701" s="40"/>
      <c r="H701" s="40"/>
      <c r="I701" s="40"/>
      <c r="J701" s="40"/>
      <c r="K701" s="40"/>
      <c r="L701" s="40"/>
      <c r="M701" s="40"/>
      <c r="N701" s="40"/>
      <c r="O701" s="40"/>
      <c r="P701" s="40"/>
      <c r="Q701" s="40"/>
      <c r="R701" s="40"/>
      <c r="S701" s="40"/>
      <c r="T701" s="40"/>
      <c r="U701" s="40"/>
      <c r="V701" s="40"/>
      <c r="W701" s="40"/>
      <c r="X701" s="40"/>
      <c r="Y701" s="40"/>
      <c r="Z701" s="40"/>
      <c r="AA701" s="40"/>
      <c r="AB701" s="40"/>
      <c r="AC701" s="40"/>
      <c r="AD701" s="40"/>
      <c r="AE701" s="40"/>
      <c r="AF701" s="40"/>
      <c r="AG701" s="40"/>
      <c r="AH701" s="40"/>
      <c r="AI701" s="40"/>
      <c r="AJ701" s="40"/>
      <c r="AK701" s="40"/>
      <c r="AL701" s="40"/>
      <c r="AM701" s="40"/>
      <c r="AN701" s="40"/>
      <c r="AO701" s="40"/>
      <c r="AP701" s="40"/>
    </row>
    <row r="702" spans="2:42" x14ac:dyDescent="0.2">
      <c r="B702" s="40"/>
      <c r="C702" s="40"/>
      <c r="D702" s="40"/>
      <c r="E702" s="40"/>
      <c r="F702" s="40"/>
      <c r="G702" s="40"/>
      <c r="H702" s="40"/>
      <c r="I702" s="40"/>
      <c r="J702" s="40"/>
      <c r="K702" s="40"/>
      <c r="L702" s="40"/>
      <c r="M702" s="40"/>
      <c r="N702" s="40"/>
      <c r="O702" s="40"/>
      <c r="P702" s="40"/>
      <c r="Q702" s="40"/>
      <c r="R702" s="40"/>
      <c r="S702" s="40"/>
      <c r="T702" s="40"/>
      <c r="U702" s="40"/>
      <c r="V702" s="40"/>
      <c r="W702" s="40"/>
      <c r="X702" s="40"/>
      <c r="Y702" s="40"/>
      <c r="Z702" s="40"/>
      <c r="AA702" s="40"/>
      <c r="AB702" s="40"/>
      <c r="AC702" s="40"/>
      <c r="AD702" s="40"/>
      <c r="AE702" s="40"/>
      <c r="AF702" s="40"/>
      <c r="AG702" s="40"/>
      <c r="AH702" s="40"/>
      <c r="AI702" s="40"/>
      <c r="AJ702" s="40"/>
      <c r="AK702" s="40"/>
      <c r="AL702" s="40"/>
      <c r="AM702" s="40"/>
      <c r="AN702" s="40"/>
      <c r="AO702" s="40"/>
      <c r="AP702" s="40"/>
    </row>
    <row r="703" spans="2:42" x14ac:dyDescent="0.2">
      <c r="B703" s="40"/>
      <c r="C703" s="40"/>
      <c r="D703" s="40"/>
      <c r="E703" s="40"/>
      <c r="F703" s="40"/>
      <c r="G703" s="40"/>
      <c r="H703" s="40"/>
      <c r="I703" s="40"/>
      <c r="J703" s="40"/>
      <c r="K703" s="40"/>
      <c r="L703" s="40"/>
      <c r="M703" s="40"/>
      <c r="N703" s="40"/>
      <c r="O703" s="40"/>
      <c r="P703" s="40"/>
      <c r="Q703" s="40"/>
      <c r="R703" s="40"/>
      <c r="S703" s="40"/>
      <c r="T703" s="40"/>
      <c r="U703" s="40"/>
      <c r="V703" s="40"/>
      <c r="W703" s="40"/>
      <c r="X703" s="40"/>
      <c r="Y703" s="40"/>
      <c r="Z703" s="40"/>
      <c r="AA703" s="40"/>
      <c r="AB703" s="40"/>
      <c r="AC703" s="40"/>
      <c r="AD703" s="40"/>
      <c r="AE703" s="40"/>
      <c r="AF703" s="40"/>
      <c r="AG703" s="40"/>
      <c r="AH703" s="40"/>
      <c r="AI703" s="40"/>
      <c r="AJ703" s="40"/>
      <c r="AK703" s="40"/>
      <c r="AL703" s="40"/>
      <c r="AM703" s="40"/>
      <c r="AN703" s="40"/>
      <c r="AO703" s="40"/>
      <c r="AP703" s="40"/>
    </row>
    <row r="704" spans="2:42" x14ac:dyDescent="0.2">
      <c r="B704" s="40"/>
      <c r="C704" s="40"/>
      <c r="D704" s="40"/>
      <c r="E704" s="40"/>
      <c r="F704" s="40"/>
      <c r="G704" s="40"/>
      <c r="H704" s="40"/>
      <c r="I704" s="40"/>
      <c r="J704" s="40"/>
      <c r="K704" s="40"/>
      <c r="L704" s="40"/>
      <c r="M704" s="40"/>
      <c r="N704" s="40"/>
      <c r="O704" s="40"/>
      <c r="P704" s="40"/>
      <c r="Q704" s="40"/>
      <c r="R704" s="40"/>
      <c r="S704" s="40"/>
      <c r="T704" s="40"/>
      <c r="U704" s="40"/>
      <c r="V704" s="40"/>
      <c r="W704" s="40"/>
      <c r="X704" s="40"/>
      <c r="Y704" s="40"/>
      <c r="Z704" s="40"/>
      <c r="AA704" s="40"/>
      <c r="AB704" s="40"/>
      <c r="AC704" s="40"/>
      <c r="AD704" s="40"/>
      <c r="AE704" s="40"/>
      <c r="AF704" s="40"/>
      <c r="AG704" s="40"/>
      <c r="AH704" s="40"/>
      <c r="AI704" s="40"/>
      <c r="AJ704" s="40"/>
      <c r="AK704" s="40"/>
      <c r="AL704" s="40"/>
      <c r="AM704" s="40"/>
      <c r="AN704" s="40"/>
      <c r="AO704" s="40"/>
      <c r="AP704" s="40"/>
    </row>
    <row r="705" spans="2:42" x14ac:dyDescent="0.2">
      <c r="B705" s="40"/>
      <c r="C705" s="40"/>
      <c r="D705" s="40"/>
      <c r="E705" s="40"/>
      <c r="F705" s="40"/>
      <c r="G705" s="40"/>
      <c r="H705" s="40"/>
      <c r="I705" s="40"/>
      <c r="J705" s="40"/>
      <c r="K705" s="40"/>
      <c r="L705" s="40"/>
      <c r="M705" s="40"/>
      <c r="N705" s="40"/>
      <c r="O705" s="40"/>
      <c r="P705" s="40"/>
      <c r="Q705" s="40"/>
      <c r="R705" s="40"/>
      <c r="S705" s="40"/>
      <c r="T705" s="40"/>
      <c r="U705" s="40"/>
      <c r="V705" s="40"/>
      <c r="W705" s="40"/>
      <c r="X705" s="40"/>
      <c r="Y705" s="40"/>
      <c r="Z705" s="40"/>
      <c r="AA705" s="40"/>
      <c r="AB705" s="40"/>
      <c r="AC705" s="40"/>
      <c r="AD705" s="40"/>
      <c r="AE705" s="40"/>
      <c r="AF705" s="40"/>
      <c r="AG705" s="40"/>
      <c r="AH705" s="40"/>
      <c r="AI705" s="40"/>
      <c r="AJ705" s="40"/>
      <c r="AK705" s="40"/>
      <c r="AL705" s="40"/>
      <c r="AM705" s="40"/>
      <c r="AN705" s="40"/>
      <c r="AO705" s="40"/>
      <c r="AP705" s="40"/>
    </row>
    <row r="706" spans="2:42" x14ac:dyDescent="0.2">
      <c r="B706" s="40"/>
      <c r="C706" s="40"/>
      <c r="D706" s="40"/>
      <c r="E706" s="40"/>
      <c r="F706" s="40"/>
      <c r="G706" s="40"/>
      <c r="H706" s="40"/>
      <c r="I706" s="40"/>
      <c r="J706" s="40"/>
      <c r="K706" s="40"/>
      <c r="L706" s="40"/>
      <c r="M706" s="40"/>
      <c r="N706" s="40"/>
      <c r="O706" s="40"/>
      <c r="P706" s="40"/>
      <c r="Q706" s="40"/>
      <c r="R706" s="40"/>
      <c r="S706" s="40"/>
      <c r="T706" s="40"/>
      <c r="U706" s="40"/>
      <c r="V706" s="40"/>
      <c r="W706" s="40"/>
      <c r="X706" s="40"/>
      <c r="Y706" s="40"/>
      <c r="Z706" s="40"/>
      <c r="AA706" s="40"/>
      <c r="AB706" s="40"/>
      <c r="AC706" s="40"/>
      <c r="AD706" s="40"/>
      <c r="AE706" s="40"/>
      <c r="AF706" s="40"/>
      <c r="AG706" s="40"/>
      <c r="AH706" s="40"/>
      <c r="AI706" s="40"/>
      <c r="AJ706" s="40"/>
      <c r="AK706" s="40"/>
      <c r="AL706" s="40"/>
      <c r="AM706" s="40"/>
      <c r="AN706" s="40"/>
      <c r="AO706" s="40"/>
      <c r="AP706" s="40"/>
    </row>
    <row r="707" spans="2:42" x14ac:dyDescent="0.2">
      <c r="B707" s="40"/>
      <c r="C707" s="40"/>
      <c r="D707" s="40"/>
      <c r="E707" s="40"/>
      <c r="F707" s="40"/>
      <c r="G707" s="40"/>
      <c r="H707" s="40"/>
      <c r="I707" s="40"/>
      <c r="J707" s="40"/>
      <c r="K707" s="40"/>
      <c r="L707" s="40"/>
      <c r="M707" s="40"/>
      <c r="N707" s="40"/>
      <c r="O707" s="40"/>
      <c r="P707" s="40"/>
      <c r="Q707" s="40"/>
      <c r="R707" s="40"/>
      <c r="S707" s="40"/>
      <c r="T707" s="40"/>
      <c r="U707" s="40"/>
      <c r="V707" s="40"/>
      <c r="W707" s="40"/>
      <c r="X707" s="40"/>
      <c r="Y707" s="40"/>
      <c r="Z707" s="40"/>
      <c r="AA707" s="40"/>
      <c r="AB707" s="40"/>
      <c r="AC707" s="40"/>
      <c r="AD707" s="40"/>
      <c r="AE707" s="40"/>
      <c r="AF707" s="40"/>
      <c r="AG707" s="40"/>
      <c r="AH707" s="40"/>
      <c r="AI707" s="40"/>
      <c r="AJ707" s="40"/>
      <c r="AK707" s="40"/>
      <c r="AL707" s="40"/>
      <c r="AM707" s="40"/>
      <c r="AN707" s="40"/>
      <c r="AO707" s="40"/>
      <c r="AP707" s="40"/>
    </row>
    <row r="708" spans="2:42" x14ac:dyDescent="0.2">
      <c r="B708" s="40"/>
      <c r="C708" s="40"/>
      <c r="D708" s="40"/>
      <c r="E708" s="40"/>
      <c r="F708" s="40"/>
      <c r="G708" s="40"/>
      <c r="H708" s="40"/>
      <c r="I708" s="40"/>
      <c r="J708" s="40"/>
      <c r="K708" s="40"/>
      <c r="L708" s="40"/>
      <c r="M708" s="40"/>
      <c r="N708" s="40"/>
      <c r="O708" s="40"/>
      <c r="P708" s="40"/>
      <c r="Q708" s="40"/>
      <c r="R708" s="40"/>
      <c r="S708" s="40"/>
      <c r="T708" s="40"/>
      <c r="U708" s="40"/>
      <c r="V708" s="40"/>
      <c r="W708" s="40"/>
      <c r="X708" s="40"/>
      <c r="Y708" s="40"/>
      <c r="Z708" s="40"/>
      <c r="AA708" s="40"/>
      <c r="AB708" s="40"/>
      <c r="AC708" s="40"/>
      <c r="AD708" s="40"/>
      <c r="AE708" s="40"/>
      <c r="AF708" s="40"/>
      <c r="AG708" s="40"/>
      <c r="AH708" s="40"/>
      <c r="AI708" s="40"/>
      <c r="AJ708" s="40"/>
      <c r="AK708" s="40"/>
      <c r="AL708" s="40"/>
      <c r="AM708" s="40"/>
      <c r="AN708" s="40"/>
      <c r="AO708" s="40"/>
      <c r="AP708" s="40"/>
    </row>
    <row r="709" spans="2:42" x14ac:dyDescent="0.2">
      <c r="B709" s="40"/>
      <c r="C709" s="40"/>
      <c r="D709" s="40"/>
      <c r="E709" s="40"/>
      <c r="F709" s="40"/>
      <c r="G709" s="40"/>
      <c r="H709" s="40"/>
      <c r="I709" s="40"/>
      <c r="J709" s="40"/>
      <c r="K709" s="40"/>
      <c r="L709" s="40"/>
      <c r="M709" s="40"/>
      <c r="N709" s="40"/>
      <c r="O709" s="40"/>
      <c r="P709" s="40"/>
      <c r="Q709" s="40"/>
      <c r="R709" s="40"/>
      <c r="S709" s="40"/>
      <c r="T709" s="40"/>
      <c r="U709" s="40"/>
      <c r="V709" s="40"/>
      <c r="W709" s="40"/>
      <c r="X709" s="40"/>
      <c r="Y709" s="40"/>
      <c r="Z709" s="40"/>
      <c r="AA709" s="40"/>
      <c r="AB709" s="40"/>
      <c r="AC709" s="40"/>
      <c r="AD709" s="40"/>
      <c r="AE709" s="40"/>
      <c r="AF709" s="40"/>
      <c r="AG709" s="40"/>
      <c r="AH709" s="40"/>
      <c r="AI709" s="40"/>
      <c r="AJ709" s="40"/>
      <c r="AK709" s="40"/>
      <c r="AL709" s="40"/>
      <c r="AM709" s="40"/>
      <c r="AN709" s="40"/>
      <c r="AO709" s="40"/>
      <c r="AP709" s="40"/>
    </row>
    <row r="710" spans="2:42" x14ac:dyDescent="0.2">
      <c r="B710" s="40"/>
      <c r="C710" s="40"/>
      <c r="D710" s="40"/>
      <c r="E710" s="40"/>
      <c r="F710" s="40"/>
      <c r="G710" s="40"/>
      <c r="H710" s="40"/>
      <c r="I710" s="40"/>
      <c r="J710" s="40"/>
      <c r="K710" s="40"/>
      <c r="L710" s="40"/>
      <c r="M710" s="40"/>
      <c r="N710" s="40"/>
      <c r="O710" s="40"/>
      <c r="P710" s="40"/>
      <c r="Q710" s="40"/>
      <c r="R710" s="40"/>
      <c r="S710" s="40"/>
      <c r="T710" s="40"/>
      <c r="U710" s="40"/>
      <c r="V710" s="40"/>
      <c r="W710" s="40"/>
      <c r="X710" s="40"/>
      <c r="Y710" s="40"/>
      <c r="Z710" s="40"/>
      <c r="AA710" s="40"/>
      <c r="AB710" s="40"/>
      <c r="AC710" s="40"/>
      <c r="AD710" s="40"/>
      <c r="AE710" s="40"/>
      <c r="AF710" s="40"/>
      <c r="AG710" s="40"/>
      <c r="AH710" s="40"/>
      <c r="AI710" s="40"/>
      <c r="AJ710" s="40"/>
      <c r="AK710" s="40"/>
      <c r="AL710" s="40"/>
      <c r="AM710" s="40"/>
      <c r="AN710" s="40"/>
      <c r="AO710" s="40"/>
      <c r="AP710" s="40"/>
    </row>
    <row r="711" spans="2:42" x14ac:dyDescent="0.2">
      <c r="B711" s="40"/>
      <c r="C711" s="40"/>
      <c r="D711" s="40"/>
      <c r="E711" s="40"/>
      <c r="F711" s="40"/>
      <c r="G711" s="40"/>
      <c r="H711" s="40"/>
      <c r="I711" s="40"/>
      <c r="J711" s="40"/>
      <c r="K711" s="40"/>
      <c r="L711" s="40"/>
      <c r="M711" s="40"/>
      <c r="N711" s="40"/>
      <c r="O711" s="40"/>
      <c r="P711" s="40"/>
      <c r="Q711" s="40"/>
      <c r="R711" s="40"/>
      <c r="S711" s="40"/>
      <c r="T711" s="40"/>
      <c r="U711" s="40"/>
      <c r="V711" s="40"/>
      <c r="W711" s="40"/>
      <c r="X711" s="40"/>
      <c r="Y711" s="40"/>
      <c r="Z711" s="40"/>
      <c r="AA711" s="40"/>
      <c r="AB711" s="40"/>
      <c r="AC711" s="40"/>
      <c r="AD711" s="40"/>
      <c r="AE711" s="40"/>
      <c r="AF711" s="40"/>
      <c r="AG711" s="40"/>
      <c r="AH711" s="40"/>
      <c r="AI711" s="40"/>
      <c r="AJ711" s="40"/>
      <c r="AK711" s="40"/>
      <c r="AL711" s="40"/>
      <c r="AM711" s="40"/>
      <c r="AN711" s="40"/>
      <c r="AO711" s="40"/>
      <c r="AP711" s="40"/>
    </row>
    <row r="712" spans="2:42" x14ac:dyDescent="0.2">
      <c r="B712" s="40"/>
      <c r="C712" s="40"/>
      <c r="D712" s="40"/>
      <c r="E712" s="40"/>
      <c r="F712" s="40"/>
      <c r="G712" s="40"/>
      <c r="H712" s="40"/>
      <c r="I712" s="40"/>
      <c r="J712" s="40"/>
      <c r="K712" s="40"/>
      <c r="L712" s="40"/>
      <c r="M712" s="40"/>
      <c r="N712" s="40"/>
      <c r="O712" s="40"/>
      <c r="P712" s="40"/>
      <c r="Q712" s="40"/>
      <c r="R712" s="40"/>
      <c r="S712" s="40"/>
      <c r="T712" s="40"/>
      <c r="U712" s="40"/>
      <c r="V712" s="40"/>
      <c r="W712" s="40"/>
      <c r="X712" s="40"/>
      <c r="Y712" s="40"/>
      <c r="Z712" s="40"/>
      <c r="AA712" s="40"/>
      <c r="AB712" s="40"/>
      <c r="AC712" s="40"/>
      <c r="AD712" s="40"/>
      <c r="AE712" s="40"/>
      <c r="AF712" s="40"/>
      <c r="AG712" s="40"/>
      <c r="AH712" s="40"/>
      <c r="AI712" s="40"/>
      <c r="AJ712" s="40"/>
      <c r="AK712" s="40"/>
      <c r="AL712" s="40"/>
      <c r="AM712" s="40"/>
      <c r="AN712" s="40"/>
      <c r="AO712" s="40"/>
      <c r="AP712" s="40"/>
    </row>
    <row r="713" spans="2:42" x14ac:dyDescent="0.2">
      <c r="B713" s="40"/>
      <c r="C713" s="40"/>
      <c r="D713" s="40"/>
      <c r="E713" s="40"/>
      <c r="F713" s="40"/>
      <c r="G713" s="40"/>
      <c r="H713" s="40"/>
      <c r="I713" s="40"/>
      <c r="J713" s="40"/>
      <c r="K713" s="40"/>
      <c r="L713" s="40"/>
      <c r="M713" s="40"/>
      <c r="N713" s="40"/>
      <c r="O713" s="40"/>
      <c r="P713" s="40"/>
      <c r="Q713" s="40"/>
      <c r="R713" s="40"/>
      <c r="S713" s="40"/>
      <c r="T713" s="40"/>
      <c r="U713" s="40"/>
      <c r="V713" s="40"/>
      <c r="W713" s="40"/>
      <c r="X713" s="40"/>
      <c r="Y713" s="40"/>
      <c r="Z713" s="40"/>
      <c r="AA713" s="40"/>
      <c r="AB713" s="40"/>
      <c r="AC713" s="40"/>
      <c r="AD713" s="40"/>
      <c r="AE713" s="40"/>
      <c r="AF713" s="40"/>
      <c r="AG713" s="40"/>
      <c r="AH713" s="40"/>
      <c r="AI713" s="40"/>
      <c r="AJ713" s="40"/>
      <c r="AK713" s="40"/>
      <c r="AL713" s="40"/>
      <c r="AM713" s="40"/>
      <c r="AN713" s="40"/>
      <c r="AO713" s="40"/>
      <c r="AP713" s="40"/>
    </row>
    <row r="714" spans="2:42" x14ac:dyDescent="0.2">
      <c r="B714" s="40"/>
      <c r="C714" s="40"/>
      <c r="D714" s="40"/>
      <c r="E714" s="40"/>
      <c r="F714" s="40"/>
      <c r="G714" s="40"/>
      <c r="H714" s="40"/>
      <c r="I714" s="40"/>
      <c r="J714" s="40"/>
      <c r="K714" s="40"/>
      <c r="L714" s="40"/>
      <c r="M714" s="40"/>
      <c r="N714" s="40"/>
      <c r="O714" s="40"/>
      <c r="P714" s="40"/>
      <c r="Q714" s="40"/>
      <c r="R714" s="40"/>
      <c r="S714" s="40"/>
      <c r="T714" s="40"/>
      <c r="U714" s="40"/>
      <c r="V714" s="40"/>
      <c r="W714" s="40"/>
      <c r="X714" s="40"/>
      <c r="Y714" s="40"/>
      <c r="Z714" s="40"/>
      <c r="AA714" s="40"/>
      <c r="AB714" s="40"/>
      <c r="AC714" s="40"/>
      <c r="AD714" s="40"/>
      <c r="AE714" s="40"/>
      <c r="AF714" s="40"/>
      <c r="AG714" s="40"/>
      <c r="AH714" s="40"/>
      <c r="AI714" s="40"/>
      <c r="AJ714" s="40"/>
      <c r="AK714" s="40"/>
      <c r="AL714" s="40"/>
      <c r="AM714" s="40"/>
      <c r="AN714" s="40"/>
      <c r="AO714" s="40"/>
      <c r="AP714" s="40"/>
    </row>
    <row r="715" spans="2:42" x14ac:dyDescent="0.2">
      <c r="B715" s="40"/>
      <c r="C715" s="40"/>
      <c r="D715" s="40"/>
      <c r="E715" s="40"/>
      <c r="F715" s="40"/>
      <c r="G715" s="40"/>
      <c r="H715" s="40"/>
      <c r="I715" s="40"/>
      <c r="J715" s="40"/>
      <c r="K715" s="40"/>
      <c r="L715" s="40"/>
      <c r="M715" s="40"/>
      <c r="N715" s="40"/>
      <c r="O715" s="40"/>
      <c r="P715" s="40"/>
      <c r="Q715" s="40"/>
      <c r="R715" s="40"/>
      <c r="S715" s="40"/>
      <c r="T715" s="40"/>
      <c r="U715" s="40"/>
      <c r="V715" s="40"/>
      <c r="W715" s="40"/>
      <c r="X715" s="40"/>
      <c r="Y715" s="40"/>
      <c r="Z715" s="40"/>
      <c r="AA715" s="40"/>
      <c r="AB715" s="40"/>
      <c r="AC715" s="40"/>
      <c r="AD715" s="40"/>
      <c r="AE715" s="40"/>
      <c r="AF715" s="40"/>
      <c r="AG715" s="40"/>
      <c r="AH715" s="40"/>
      <c r="AI715" s="40"/>
      <c r="AJ715" s="40"/>
      <c r="AK715" s="40"/>
      <c r="AL715" s="40"/>
      <c r="AM715" s="40"/>
      <c r="AN715" s="40"/>
      <c r="AO715" s="40"/>
      <c r="AP715" s="40"/>
    </row>
    <row r="716" spans="2:42" x14ac:dyDescent="0.2">
      <c r="B716" s="40"/>
      <c r="C716" s="40"/>
      <c r="D716" s="40"/>
      <c r="E716" s="40"/>
      <c r="F716" s="40"/>
      <c r="G716" s="40"/>
      <c r="H716" s="40"/>
      <c r="I716" s="40"/>
      <c r="J716" s="40"/>
      <c r="K716" s="40"/>
      <c r="L716" s="40"/>
      <c r="M716" s="40"/>
      <c r="N716" s="40"/>
      <c r="O716" s="40"/>
      <c r="P716" s="40"/>
      <c r="Q716" s="40"/>
      <c r="R716" s="40"/>
      <c r="S716" s="40"/>
      <c r="T716" s="40"/>
      <c r="U716" s="40"/>
      <c r="V716" s="40"/>
      <c r="W716" s="40"/>
      <c r="X716" s="40"/>
      <c r="Y716" s="40"/>
      <c r="Z716" s="40"/>
      <c r="AA716" s="40"/>
      <c r="AB716" s="40"/>
      <c r="AC716" s="40"/>
      <c r="AD716" s="40"/>
      <c r="AE716" s="40"/>
      <c r="AF716" s="40"/>
      <c r="AG716" s="40"/>
      <c r="AH716" s="40"/>
      <c r="AI716" s="40"/>
      <c r="AJ716" s="40"/>
      <c r="AK716" s="40"/>
      <c r="AL716" s="40"/>
      <c r="AM716" s="40"/>
      <c r="AN716" s="40"/>
      <c r="AO716" s="40"/>
      <c r="AP716" s="40"/>
    </row>
    <row r="717" spans="2:42" x14ac:dyDescent="0.2">
      <c r="B717" s="40"/>
      <c r="C717" s="40"/>
      <c r="D717" s="40"/>
      <c r="E717" s="40"/>
      <c r="F717" s="40"/>
      <c r="G717" s="40"/>
      <c r="H717" s="40"/>
      <c r="I717" s="40"/>
      <c r="J717" s="40"/>
      <c r="K717" s="40"/>
      <c r="L717" s="40"/>
      <c r="M717" s="40"/>
      <c r="N717" s="40"/>
      <c r="O717" s="40"/>
      <c r="P717" s="40"/>
      <c r="Q717" s="40"/>
      <c r="R717" s="40"/>
      <c r="S717" s="40"/>
      <c r="T717" s="40"/>
      <c r="U717" s="40"/>
      <c r="V717" s="40"/>
      <c r="W717" s="40"/>
      <c r="X717" s="40"/>
      <c r="Y717" s="40"/>
      <c r="Z717" s="40"/>
      <c r="AA717" s="40"/>
      <c r="AB717" s="40"/>
      <c r="AC717" s="40"/>
      <c r="AD717" s="40"/>
      <c r="AE717" s="40"/>
      <c r="AF717" s="40"/>
      <c r="AG717" s="40"/>
      <c r="AH717" s="40"/>
      <c r="AI717" s="40"/>
      <c r="AJ717" s="40"/>
      <c r="AK717" s="40"/>
      <c r="AL717" s="40"/>
      <c r="AM717" s="40"/>
      <c r="AN717" s="40"/>
      <c r="AO717" s="40"/>
      <c r="AP717" s="40"/>
    </row>
    <row r="718" spans="2:42" x14ac:dyDescent="0.2">
      <c r="B718" s="40"/>
      <c r="C718" s="40"/>
      <c r="D718" s="40"/>
      <c r="E718" s="40"/>
      <c r="F718" s="40"/>
      <c r="G718" s="40"/>
      <c r="H718" s="40"/>
      <c r="I718" s="40"/>
      <c r="J718" s="40"/>
      <c r="K718" s="40"/>
      <c r="L718" s="40"/>
      <c r="M718" s="40"/>
      <c r="N718" s="40"/>
      <c r="O718" s="40"/>
      <c r="P718" s="40"/>
      <c r="Q718" s="40"/>
      <c r="R718" s="40"/>
      <c r="S718" s="40"/>
      <c r="T718" s="40"/>
      <c r="U718" s="40"/>
      <c r="V718" s="40"/>
      <c r="W718" s="40"/>
      <c r="X718" s="40"/>
      <c r="Y718" s="40"/>
      <c r="Z718" s="40"/>
      <c r="AA718" s="40"/>
      <c r="AB718" s="40"/>
      <c r="AC718" s="40"/>
      <c r="AD718" s="40"/>
      <c r="AE718" s="40"/>
      <c r="AF718" s="40"/>
      <c r="AG718" s="40"/>
      <c r="AH718" s="40"/>
      <c r="AI718" s="40"/>
      <c r="AJ718" s="40"/>
      <c r="AK718" s="40"/>
      <c r="AL718" s="40"/>
      <c r="AM718" s="40"/>
      <c r="AN718" s="40"/>
      <c r="AO718" s="40"/>
      <c r="AP718" s="40"/>
    </row>
    <row r="719" spans="2:42" x14ac:dyDescent="0.2">
      <c r="B719" s="40"/>
      <c r="C719" s="40"/>
      <c r="D719" s="40"/>
      <c r="E719" s="40"/>
      <c r="F719" s="40"/>
      <c r="G719" s="40"/>
      <c r="H719" s="40"/>
      <c r="I719" s="40"/>
      <c r="J719" s="40"/>
      <c r="K719" s="40"/>
      <c r="L719" s="40"/>
      <c r="M719" s="40"/>
      <c r="N719" s="40"/>
      <c r="O719" s="40"/>
      <c r="P719" s="40"/>
      <c r="Q719" s="40"/>
      <c r="R719" s="40"/>
      <c r="S719" s="40"/>
      <c r="T719" s="40"/>
      <c r="U719" s="40"/>
      <c r="V719" s="40"/>
      <c r="W719" s="40"/>
      <c r="X719" s="40"/>
      <c r="Y719" s="40"/>
      <c r="Z719" s="40"/>
      <c r="AA719" s="40"/>
      <c r="AB719" s="40"/>
      <c r="AC719" s="40"/>
      <c r="AD719" s="40"/>
      <c r="AE719" s="40"/>
      <c r="AF719" s="40"/>
      <c r="AG719" s="40"/>
      <c r="AH719" s="40"/>
      <c r="AI719" s="40"/>
      <c r="AJ719" s="40"/>
      <c r="AK719" s="40"/>
      <c r="AL719" s="40"/>
      <c r="AM719" s="40"/>
      <c r="AN719" s="40"/>
      <c r="AO719" s="40"/>
      <c r="AP719" s="40"/>
    </row>
    <row r="720" spans="2:42" x14ac:dyDescent="0.2">
      <c r="B720" s="40"/>
      <c r="C720" s="40"/>
      <c r="D720" s="40"/>
      <c r="E720" s="40"/>
      <c r="F720" s="40"/>
      <c r="G720" s="40"/>
      <c r="H720" s="40"/>
      <c r="I720" s="40"/>
      <c r="J720" s="40"/>
      <c r="K720" s="40"/>
      <c r="L720" s="40"/>
      <c r="M720" s="40"/>
      <c r="N720" s="40"/>
      <c r="O720" s="40"/>
      <c r="P720" s="40"/>
      <c r="Q720" s="40"/>
      <c r="R720" s="40"/>
      <c r="S720" s="40"/>
      <c r="T720" s="40"/>
      <c r="U720" s="40"/>
      <c r="V720" s="40"/>
      <c r="W720" s="40"/>
      <c r="X720" s="40"/>
      <c r="Y720" s="40"/>
      <c r="Z720" s="40"/>
      <c r="AA720" s="40"/>
      <c r="AB720" s="40"/>
      <c r="AC720" s="40"/>
      <c r="AD720" s="40"/>
      <c r="AE720" s="40"/>
      <c r="AF720" s="40"/>
      <c r="AG720" s="40"/>
      <c r="AH720" s="40"/>
      <c r="AI720" s="40"/>
      <c r="AJ720" s="40"/>
      <c r="AK720" s="40"/>
      <c r="AL720" s="40"/>
      <c r="AM720" s="40"/>
      <c r="AN720" s="40"/>
      <c r="AO720" s="40"/>
      <c r="AP720" s="40"/>
    </row>
    <row r="721" spans="2:42" x14ac:dyDescent="0.2">
      <c r="B721" s="40"/>
      <c r="C721" s="40"/>
      <c r="D721" s="40"/>
      <c r="E721" s="40"/>
      <c r="F721" s="40"/>
      <c r="G721" s="40"/>
      <c r="H721" s="40"/>
      <c r="I721" s="40"/>
      <c r="J721" s="40"/>
      <c r="K721" s="40"/>
      <c r="L721" s="40"/>
      <c r="M721" s="40"/>
      <c r="N721" s="40"/>
      <c r="O721" s="40"/>
      <c r="P721" s="40"/>
      <c r="Q721" s="40"/>
      <c r="R721" s="40"/>
      <c r="S721" s="40"/>
      <c r="T721" s="40"/>
      <c r="U721" s="40"/>
      <c r="V721" s="40"/>
      <c r="W721" s="40"/>
      <c r="X721" s="40"/>
      <c r="Y721" s="40"/>
      <c r="Z721" s="40"/>
      <c r="AA721" s="40"/>
      <c r="AB721" s="40"/>
      <c r="AC721" s="40"/>
      <c r="AD721" s="40"/>
      <c r="AE721" s="40"/>
      <c r="AF721" s="40"/>
      <c r="AG721" s="40"/>
      <c r="AH721" s="40"/>
      <c r="AI721" s="40"/>
      <c r="AJ721" s="40"/>
      <c r="AK721" s="40"/>
      <c r="AL721" s="40"/>
      <c r="AM721" s="40"/>
      <c r="AN721" s="40"/>
      <c r="AO721" s="40"/>
      <c r="AP721" s="40"/>
    </row>
    <row r="722" spans="2:42" x14ac:dyDescent="0.2">
      <c r="B722" s="40"/>
      <c r="C722" s="40"/>
      <c r="D722" s="40"/>
      <c r="E722" s="40"/>
      <c r="F722" s="40"/>
      <c r="G722" s="40"/>
      <c r="H722" s="40"/>
      <c r="I722" s="40"/>
      <c r="J722" s="40"/>
      <c r="K722" s="40"/>
      <c r="L722" s="40"/>
      <c r="M722" s="40"/>
      <c r="N722" s="40"/>
      <c r="O722" s="40"/>
      <c r="P722" s="40"/>
      <c r="Q722" s="40"/>
      <c r="R722" s="40"/>
      <c r="S722" s="40"/>
      <c r="T722" s="40"/>
      <c r="U722" s="40"/>
      <c r="V722" s="40"/>
      <c r="W722" s="40"/>
      <c r="X722" s="40"/>
      <c r="Y722" s="40"/>
      <c r="Z722" s="40"/>
      <c r="AA722" s="40"/>
      <c r="AB722" s="40"/>
      <c r="AC722" s="40"/>
      <c r="AD722" s="40"/>
      <c r="AE722" s="40"/>
      <c r="AF722" s="40"/>
      <c r="AG722" s="40"/>
      <c r="AH722" s="40"/>
      <c r="AI722" s="40"/>
      <c r="AJ722" s="40"/>
      <c r="AK722" s="40"/>
      <c r="AL722" s="40"/>
      <c r="AM722" s="40"/>
      <c r="AN722" s="40"/>
      <c r="AO722" s="40"/>
      <c r="AP722" s="40"/>
    </row>
    <row r="723" spans="2:42" x14ac:dyDescent="0.2">
      <c r="B723" s="40"/>
      <c r="C723" s="40"/>
      <c r="D723" s="40"/>
      <c r="E723" s="40"/>
      <c r="F723" s="40"/>
      <c r="G723" s="40"/>
      <c r="H723" s="40"/>
      <c r="I723" s="40"/>
      <c r="J723" s="40"/>
      <c r="K723" s="40"/>
      <c r="L723" s="40"/>
      <c r="M723" s="40"/>
      <c r="N723" s="40"/>
      <c r="O723" s="40"/>
      <c r="P723" s="40"/>
      <c r="Q723" s="40"/>
      <c r="R723" s="40"/>
      <c r="S723" s="40"/>
      <c r="T723" s="40"/>
      <c r="U723" s="40"/>
      <c r="V723" s="40"/>
      <c r="W723" s="40"/>
      <c r="X723" s="40"/>
      <c r="Y723" s="40"/>
      <c r="Z723" s="40"/>
      <c r="AA723" s="40"/>
      <c r="AB723" s="40"/>
      <c r="AC723" s="40"/>
      <c r="AD723" s="40"/>
      <c r="AE723" s="40"/>
      <c r="AF723" s="40"/>
      <c r="AG723" s="40"/>
      <c r="AH723" s="40"/>
      <c r="AI723" s="40"/>
      <c r="AJ723" s="40"/>
      <c r="AK723" s="40"/>
      <c r="AL723" s="40"/>
      <c r="AM723" s="40"/>
      <c r="AN723" s="40"/>
      <c r="AO723" s="40"/>
      <c r="AP723" s="40"/>
    </row>
    <row r="724" spans="2:42" x14ac:dyDescent="0.2">
      <c r="B724" s="40"/>
      <c r="C724" s="40"/>
      <c r="D724" s="40"/>
      <c r="E724" s="40"/>
      <c r="F724" s="40"/>
      <c r="G724" s="40"/>
      <c r="H724" s="40"/>
      <c r="I724" s="40"/>
      <c r="J724" s="40"/>
      <c r="K724" s="40"/>
      <c r="L724" s="40"/>
      <c r="M724" s="40"/>
      <c r="N724" s="40"/>
      <c r="O724" s="40"/>
      <c r="P724" s="40"/>
      <c r="Q724" s="40"/>
      <c r="R724" s="40"/>
      <c r="S724" s="40"/>
      <c r="T724" s="40"/>
      <c r="U724" s="40"/>
      <c r="V724" s="40"/>
      <c r="W724" s="40"/>
      <c r="X724" s="40"/>
      <c r="Y724" s="40"/>
      <c r="Z724" s="40"/>
      <c r="AA724" s="40"/>
      <c r="AB724" s="40"/>
      <c r="AC724" s="40"/>
      <c r="AD724" s="40"/>
      <c r="AE724" s="40"/>
      <c r="AF724" s="40"/>
      <c r="AG724" s="40"/>
      <c r="AH724" s="40"/>
      <c r="AI724" s="40"/>
      <c r="AJ724" s="40"/>
      <c r="AK724" s="40"/>
      <c r="AL724" s="40"/>
      <c r="AM724" s="40"/>
      <c r="AN724" s="40"/>
      <c r="AO724" s="40"/>
      <c r="AP724" s="40"/>
    </row>
    <row r="725" spans="2:42" x14ac:dyDescent="0.2">
      <c r="B725" s="40"/>
      <c r="C725" s="40"/>
      <c r="D725" s="40"/>
      <c r="E725" s="40"/>
      <c r="F725" s="40"/>
      <c r="G725" s="40"/>
      <c r="H725" s="40"/>
      <c r="I725" s="40"/>
      <c r="J725" s="40"/>
      <c r="K725" s="40"/>
      <c r="L725" s="40"/>
      <c r="M725" s="40"/>
      <c r="N725" s="40"/>
      <c r="O725" s="40"/>
      <c r="P725" s="40"/>
      <c r="Q725" s="40"/>
      <c r="R725" s="40"/>
      <c r="S725" s="40"/>
      <c r="T725" s="40"/>
      <c r="U725" s="40"/>
      <c r="V725" s="40"/>
      <c r="W725" s="40"/>
      <c r="X725" s="40"/>
      <c r="Y725" s="40"/>
      <c r="Z725" s="40"/>
      <c r="AA725" s="40"/>
      <c r="AB725" s="40"/>
      <c r="AC725" s="40"/>
      <c r="AD725" s="40"/>
      <c r="AE725" s="40"/>
      <c r="AF725" s="40"/>
      <c r="AG725" s="40"/>
      <c r="AH725" s="40"/>
      <c r="AI725" s="40"/>
      <c r="AJ725" s="40"/>
      <c r="AK725" s="40"/>
      <c r="AL725" s="40"/>
      <c r="AM725" s="40"/>
      <c r="AN725" s="40"/>
      <c r="AO725" s="40"/>
      <c r="AP725" s="40"/>
    </row>
    <row r="726" spans="2:42" x14ac:dyDescent="0.2">
      <c r="B726" s="40"/>
      <c r="C726" s="40"/>
      <c r="D726" s="40"/>
      <c r="E726" s="40"/>
      <c r="F726" s="40"/>
      <c r="G726" s="40"/>
      <c r="H726" s="40"/>
      <c r="I726" s="40"/>
      <c r="J726" s="40"/>
      <c r="K726" s="40"/>
      <c r="L726" s="40"/>
      <c r="M726" s="40"/>
      <c r="N726" s="40"/>
      <c r="O726" s="40"/>
      <c r="P726" s="40"/>
      <c r="Q726" s="40"/>
      <c r="R726" s="40"/>
      <c r="S726" s="40"/>
      <c r="T726" s="40"/>
      <c r="U726" s="40"/>
      <c r="V726" s="40"/>
      <c r="W726" s="40"/>
      <c r="X726" s="40"/>
      <c r="Y726" s="40"/>
      <c r="Z726" s="40"/>
      <c r="AA726" s="40"/>
      <c r="AB726" s="40"/>
      <c r="AC726" s="40"/>
      <c r="AD726" s="40"/>
      <c r="AE726" s="40"/>
      <c r="AF726" s="40"/>
      <c r="AG726" s="40"/>
      <c r="AH726" s="40"/>
      <c r="AI726" s="40"/>
      <c r="AJ726" s="40"/>
      <c r="AK726" s="40"/>
      <c r="AL726" s="40"/>
      <c r="AM726" s="40"/>
      <c r="AN726" s="40"/>
      <c r="AO726" s="40"/>
      <c r="AP726" s="40"/>
    </row>
    <row r="727" spans="2:42" x14ac:dyDescent="0.2">
      <c r="B727" s="40"/>
      <c r="C727" s="40"/>
      <c r="D727" s="40"/>
      <c r="E727" s="40"/>
      <c r="F727" s="40"/>
      <c r="G727" s="40"/>
      <c r="H727" s="40"/>
      <c r="I727" s="40"/>
      <c r="J727" s="40"/>
      <c r="K727" s="40"/>
      <c r="L727" s="40"/>
      <c r="M727" s="40"/>
      <c r="N727" s="40"/>
      <c r="O727" s="40"/>
      <c r="P727" s="40"/>
      <c r="Q727" s="40"/>
      <c r="R727" s="40"/>
      <c r="S727" s="40"/>
      <c r="T727" s="40"/>
      <c r="U727" s="40"/>
      <c r="V727" s="40"/>
      <c r="W727" s="40"/>
      <c r="X727" s="40"/>
      <c r="Y727" s="40"/>
      <c r="Z727" s="40"/>
      <c r="AA727" s="40"/>
      <c r="AB727" s="40"/>
      <c r="AC727" s="40"/>
      <c r="AD727" s="40"/>
      <c r="AE727" s="40"/>
      <c r="AF727" s="40"/>
      <c r="AG727" s="40"/>
      <c r="AH727" s="40"/>
      <c r="AI727" s="40"/>
      <c r="AJ727" s="40"/>
      <c r="AK727" s="40"/>
      <c r="AL727" s="40"/>
      <c r="AM727" s="40"/>
      <c r="AN727" s="40"/>
      <c r="AO727" s="40"/>
      <c r="AP727" s="40"/>
    </row>
    <row r="728" spans="2:42" x14ac:dyDescent="0.2">
      <c r="B728" s="40"/>
      <c r="C728" s="40"/>
      <c r="D728" s="40"/>
      <c r="E728" s="40"/>
      <c r="F728" s="40"/>
      <c r="G728" s="40"/>
      <c r="H728" s="40"/>
      <c r="I728" s="40"/>
      <c r="J728" s="40"/>
      <c r="K728" s="40"/>
      <c r="L728" s="40"/>
      <c r="M728" s="40"/>
      <c r="N728" s="40"/>
      <c r="O728" s="40"/>
      <c r="P728" s="40"/>
      <c r="Q728" s="40"/>
      <c r="R728" s="40"/>
      <c r="S728" s="40"/>
      <c r="T728" s="40"/>
      <c r="U728" s="40"/>
      <c r="V728" s="40"/>
      <c r="W728" s="40"/>
      <c r="X728" s="40"/>
      <c r="Y728" s="40"/>
      <c r="Z728" s="40"/>
      <c r="AA728" s="40"/>
      <c r="AB728" s="40"/>
      <c r="AC728" s="40"/>
      <c r="AD728" s="40"/>
      <c r="AE728" s="40"/>
      <c r="AF728" s="40"/>
      <c r="AG728" s="40"/>
      <c r="AH728" s="40"/>
      <c r="AI728" s="40"/>
      <c r="AJ728" s="40"/>
      <c r="AK728" s="40"/>
      <c r="AL728" s="40"/>
      <c r="AM728" s="40"/>
      <c r="AN728" s="40"/>
      <c r="AO728" s="40"/>
      <c r="AP728" s="40"/>
    </row>
    <row r="729" spans="2:42" x14ac:dyDescent="0.2">
      <c r="B729" s="40"/>
      <c r="C729" s="40"/>
      <c r="D729" s="40"/>
      <c r="E729" s="40"/>
      <c r="F729" s="40"/>
      <c r="G729" s="40"/>
      <c r="H729" s="40"/>
      <c r="I729" s="40"/>
      <c r="J729" s="40"/>
      <c r="K729" s="40"/>
      <c r="L729" s="40"/>
      <c r="M729" s="40"/>
      <c r="N729" s="40"/>
      <c r="O729" s="40"/>
      <c r="P729" s="40"/>
      <c r="Q729" s="40"/>
      <c r="R729" s="40"/>
      <c r="S729" s="40"/>
      <c r="T729" s="40"/>
      <c r="U729" s="40"/>
      <c r="V729" s="40"/>
      <c r="W729" s="40"/>
      <c r="X729" s="40"/>
      <c r="Y729" s="40"/>
      <c r="Z729" s="40"/>
      <c r="AA729" s="40"/>
      <c r="AB729" s="40"/>
      <c r="AC729" s="40"/>
      <c r="AD729" s="40"/>
      <c r="AE729" s="40"/>
      <c r="AF729" s="40"/>
      <c r="AG729" s="40"/>
      <c r="AH729" s="40"/>
      <c r="AI729" s="40"/>
      <c r="AJ729" s="40"/>
      <c r="AK729" s="40"/>
      <c r="AL729" s="40"/>
      <c r="AM729" s="40"/>
      <c r="AN729" s="40"/>
      <c r="AO729" s="40"/>
      <c r="AP729" s="40"/>
    </row>
    <row r="730" spans="2:42" x14ac:dyDescent="0.2">
      <c r="B730" s="40"/>
      <c r="C730" s="40"/>
      <c r="D730" s="40"/>
      <c r="E730" s="40"/>
      <c r="F730" s="40"/>
      <c r="G730" s="40"/>
      <c r="H730" s="40"/>
      <c r="I730" s="40"/>
      <c r="J730" s="40"/>
      <c r="K730" s="40"/>
      <c r="L730" s="40"/>
      <c r="M730" s="40"/>
      <c r="N730" s="40"/>
      <c r="O730" s="40"/>
      <c r="P730" s="40"/>
      <c r="Q730" s="40"/>
      <c r="R730" s="40"/>
      <c r="S730" s="40"/>
      <c r="T730" s="40"/>
      <c r="U730" s="40"/>
      <c r="V730" s="40"/>
      <c r="W730" s="40"/>
      <c r="X730" s="40"/>
      <c r="Y730" s="40"/>
      <c r="Z730" s="40"/>
      <c r="AA730" s="40"/>
      <c r="AB730" s="40"/>
      <c r="AC730" s="40"/>
      <c r="AD730" s="40"/>
      <c r="AE730" s="40"/>
      <c r="AF730" s="40"/>
      <c r="AG730" s="40"/>
      <c r="AH730" s="40"/>
      <c r="AI730" s="40"/>
      <c r="AJ730" s="40"/>
      <c r="AK730" s="40"/>
      <c r="AL730" s="40"/>
      <c r="AM730" s="40"/>
      <c r="AN730" s="40"/>
      <c r="AO730" s="40"/>
      <c r="AP730" s="40"/>
    </row>
    <row r="731" spans="2:42" x14ac:dyDescent="0.2">
      <c r="B731" s="40"/>
      <c r="C731" s="40"/>
      <c r="D731" s="40"/>
      <c r="E731" s="40"/>
      <c r="F731" s="40"/>
      <c r="G731" s="40"/>
      <c r="H731" s="40"/>
      <c r="I731" s="40"/>
      <c r="J731" s="40"/>
      <c r="K731" s="40"/>
      <c r="L731" s="40"/>
      <c r="M731" s="40"/>
      <c r="N731" s="40"/>
      <c r="O731" s="40"/>
      <c r="P731" s="40"/>
      <c r="Q731" s="40"/>
      <c r="R731" s="40"/>
      <c r="S731" s="40"/>
      <c r="T731" s="40"/>
      <c r="U731" s="40"/>
      <c r="V731" s="40"/>
      <c r="W731" s="40"/>
      <c r="X731" s="40"/>
      <c r="Y731" s="40"/>
      <c r="Z731" s="40"/>
      <c r="AA731" s="40"/>
      <c r="AB731" s="40"/>
      <c r="AC731" s="40"/>
      <c r="AD731" s="40"/>
      <c r="AE731" s="40"/>
      <c r="AF731" s="40"/>
      <c r="AG731" s="40"/>
      <c r="AH731" s="40"/>
      <c r="AI731" s="40"/>
      <c r="AJ731" s="40"/>
      <c r="AK731" s="40"/>
      <c r="AL731" s="40"/>
      <c r="AM731" s="40"/>
      <c r="AN731" s="40"/>
      <c r="AO731" s="40"/>
      <c r="AP731" s="40"/>
    </row>
    <row r="732" spans="2:42" x14ac:dyDescent="0.2">
      <c r="B732" s="40"/>
      <c r="C732" s="40"/>
      <c r="D732" s="40"/>
      <c r="E732" s="40"/>
      <c r="F732" s="40"/>
      <c r="G732" s="40"/>
      <c r="H732" s="40"/>
      <c r="I732" s="40"/>
      <c r="J732" s="40"/>
      <c r="K732" s="40"/>
      <c r="L732" s="40"/>
      <c r="M732" s="40"/>
      <c r="N732" s="40"/>
      <c r="O732" s="40"/>
      <c r="P732" s="40"/>
      <c r="Q732" s="40"/>
      <c r="R732" s="40"/>
      <c r="S732" s="40"/>
      <c r="T732" s="40"/>
      <c r="U732" s="40"/>
      <c r="V732" s="40"/>
      <c r="W732" s="40"/>
      <c r="X732" s="40"/>
      <c r="Y732" s="40"/>
      <c r="Z732" s="40"/>
      <c r="AA732" s="40"/>
      <c r="AB732" s="40"/>
      <c r="AC732" s="40"/>
      <c r="AD732" s="40"/>
      <c r="AE732" s="40"/>
      <c r="AF732" s="40"/>
      <c r="AG732" s="40"/>
      <c r="AH732" s="40"/>
      <c r="AI732" s="40"/>
      <c r="AJ732" s="40"/>
      <c r="AK732" s="40"/>
      <c r="AL732" s="40"/>
      <c r="AM732" s="40"/>
      <c r="AN732" s="40"/>
      <c r="AO732" s="40"/>
      <c r="AP732" s="40"/>
    </row>
    <row r="733" spans="2:42" x14ac:dyDescent="0.2">
      <c r="B733" s="40"/>
      <c r="C733" s="40"/>
      <c r="D733" s="40"/>
      <c r="E733" s="40"/>
      <c r="F733" s="40"/>
      <c r="G733" s="40"/>
      <c r="H733" s="40"/>
      <c r="I733" s="40"/>
      <c r="J733" s="40"/>
      <c r="K733" s="40"/>
      <c r="L733" s="40"/>
      <c r="M733" s="40"/>
      <c r="N733" s="40"/>
      <c r="O733" s="40"/>
      <c r="P733" s="40"/>
      <c r="Q733" s="40"/>
      <c r="R733" s="40"/>
      <c r="S733" s="40"/>
      <c r="T733" s="40"/>
      <c r="U733" s="40"/>
      <c r="V733" s="40"/>
      <c r="W733" s="40"/>
      <c r="X733" s="40"/>
      <c r="Y733" s="40"/>
      <c r="Z733" s="40"/>
      <c r="AA733" s="40"/>
      <c r="AB733" s="40"/>
      <c r="AC733" s="40"/>
      <c r="AD733" s="40"/>
      <c r="AE733" s="40"/>
      <c r="AF733" s="40"/>
      <c r="AG733" s="40"/>
      <c r="AH733" s="40"/>
      <c r="AI733" s="40"/>
      <c r="AJ733" s="40"/>
      <c r="AK733" s="40"/>
      <c r="AL733" s="40"/>
      <c r="AM733" s="40"/>
      <c r="AN733" s="40"/>
      <c r="AO733" s="40"/>
      <c r="AP733" s="40"/>
    </row>
    <row r="734" spans="2:42" x14ac:dyDescent="0.2">
      <c r="B734" s="40"/>
      <c r="C734" s="40"/>
      <c r="D734" s="40"/>
      <c r="E734" s="40"/>
      <c r="F734" s="40"/>
      <c r="G734" s="40"/>
      <c r="H734" s="40"/>
      <c r="I734" s="40"/>
      <c r="J734" s="40"/>
      <c r="K734" s="40"/>
      <c r="L734" s="40"/>
      <c r="M734" s="40"/>
      <c r="N734" s="40"/>
      <c r="O734" s="40"/>
      <c r="P734" s="40"/>
      <c r="Q734" s="40"/>
      <c r="R734" s="40"/>
      <c r="S734" s="40"/>
      <c r="T734" s="40"/>
      <c r="U734" s="40"/>
      <c r="V734" s="40"/>
      <c r="W734" s="40"/>
      <c r="X734" s="40"/>
      <c r="Y734" s="40"/>
      <c r="Z734" s="40"/>
      <c r="AA734" s="40"/>
      <c r="AB734" s="40"/>
      <c r="AC734" s="40"/>
      <c r="AD734" s="40"/>
      <c r="AE734" s="40"/>
      <c r="AF734" s="40"/>
      <c r="AG734" s="40"/>
      <c r="AH734" s="40"/>
      <c r="AI734" s="40"/>
      <c r="AJ734" s="40"/>
      <c r="AK734" s="40"/>
      <c r="AL734" s="40"/>
      <c r="AM734" s="40"/>
      <c r="AN734" s="40"/>
      <c r="AO734" s="40"/>
      <c r="AP734" s="40"/>
    </row>
    <row r="735" spans="2:42" x14ac:dyDescent="0.2">
      <c r="B735" s="40"/>
      <c r="C735" s="40"/>
      <c r="D735" s="40"/>
      <c r="E735" s="40"/>
      <c r="F735" s="40"/>
      <c r="G735" s="40"/>
      <c r="H735" s="40"/>
      <c r="I735" s="40"/>
      <c r="J735" s="40"/>
      <c r="K735" s="40"/>
      <c r="L735" s="40"/>
      <c r="M735" s="40"/>
      <c r="N735" s="40"/>
      <c r="O735" s="40"/>
      <c r="P735" s="40"/>
      <c r="Q735" s="40"/>
      <c r="R735" s="40"/>
      <c r="S735" s="40"/>
      <c r="T735" s="40"/>
      <c r="U735" s="40"/>
      <c r="V735" s="40"/>
      <c r="W735" s="40"/>
      <c r="X735" s="40"/>
      <c r="Y735" s="40"/>
      <c r="Z735" s="40"/>
      <c r="AA735" s="40"/>
      <c r="AB735" s="40"/>
      <c r="AC735" s="40"/>
      <c r="AD735" s="40"/>
      <c r="AE735" s="40"/>
      <c r="AF735" s="40"/>
      <c r="AG735" s="40"/>
      <c r="AH735" s="40"/>
      <c r="AI735" s="40"/>
      <c r="AJ735" s="40"/>
      <c r="AK735" s="40"/>
      <c r="AL735" s="40"/>
      <c r="AM735" s="40"/>
      <c r="AN735" s="40"/>
      <c r="AO735" s="40"/>
      <c r="AP735" s="40"/>
    </row>
    <row r="736" spans="2:42" x14ac:dyDescent="0.2">
      <c r="B736" s="40"/>
      <c r="C736" s="40"/>
      <c r="D736" s="40"/>
      <c r="E736" s="40"/>
      <c r="F736" s="40"/>
      <c r="G736" s="40"/>
      <c r="H736" s="40"/>
      <c r="I736" s="40"/>
      <c r="J736" s="40"/>
      <c r="K736" s="40"/>
      <c r="L736" s="40"/>
      <c r="M736" s="40"/>
      <c r="N736" s="40"/>
      <c r="O736" s="40"/>
      <c r="P736" s="40"/>
      <c r="Q736" s="40"/>
      <c r="R736" s="40"/>
      <c r="S736" s="40"/>
      <c r="T736" s="40"/>
      <c r="U736" s="40"/>
      <c r="V736" s="40"/>
      <c r="W736" s="40"/>
      <c r="X736" s="40"/>
      <c r="Y736" s="40"/>
      <c r="Z736" s="40"/>
      <c r="AA736" s="40"/>
      <c r="AB736" s="40"/>
      <c r="AC736" s="40"/>
      <c r="AD736" s="40"/>
      <c r="AE736" s="40"/>
      <c r="AF736" s="40"/>
      <c r="AG736" s="40"/>
      <c r="AH736" s="40"/>
      <c r="AI736" s="40"/>
      <c r="AJ736" s="40"/>
      <c r="AK736" s="40"/>
      <c r="AL736" s="40"/>
      <c r="AM736" s="40"/>
      <c r="AN736" s="40"/>
      <c r="AO736" s="40"/>
      <c r="AP736" s="40"/>
    </row>
    <row r="737" spans="2:42" x14ac:dyDescent="0.2">
      <c r="B737" s="40"/>
      <c r="C737" s="40"/>
      <c r="D737" s="40"/>
      <c r="E737" s="40"/>
      <c r="F737" s="40"/>
      <c r="G737" s="40"/>
      <c r="H737" s="40"/>
      <c r="I737" s="40"/>
      <c r="J737" s="40"/>
      <c r="K737" s="40"/>
      <c r="L737" s="40"/>
      <c r="M737" s="40"/>
      <c r="N737" s="40"/>
      <c r="O737" s="40"/>
      <c r="P737" s="40"/>
      <c r="Q737" s="40"/>
      <c r="R737" s="40"/>
      <c r="S737" s="40"/>
      <c r="T737" s="40"/>
      <c r="U737" s="40"/>
      <c r="V737" s="40"/>
      <c r="W737" s="40"/>
      <c r="X737" s="40"/>
      <c r="Y737" s="40"/>
      <c r="Z737" s="40"/>
      <c r="AA737" s="40"/>
      <c r="AB737" s="40"/>
      <c r="AC737" s="40"/>
      <c r="AD737" s="40"/>
      <c r="AE737" s="40"/>
      <c r="AF737" s="40"/>
      <c r="AG737" s="40"/>
      <c r="AH737" s="40"/>
      <c r="AI737" s="40"/>
      <c r="AJ737" s="40"/>
      <c r="AK737" s="40"/>
      <c r="AL737" s="40"/>
      <c r="AM737" s="40"/>
      <c r="AN737" s="40"/>
      <c r="AO737" s="40"/>
      <c r="AP737" s="40"/>
    </row>
    <row r="738" spans="2:42" x14ac:dyDescent="0.2">
      <c r="B738" s="40"/>
      <c r="C738" s="40"/>
      <c r="D738" s="40"/>
      <c r="E738" s="40"/>
      <c r="F738" s="40"/>
      <c r="G738" s="40"/>
      <c r="H738" s="40"/>
      <c r="I738" s="40"/>
      <c r="J738" s="40"/>
      <c r="K738" s="40"/>
      <c r="L738" s="40"/>
      <c r="M738" s="40"/>
      <c r="N738" s="40"/>
      <c r="O738" s="40"/>
      <c r="P738" s="40"/>
      <c r="Q738" s="40"/>
      <c r="R738" s="40"/>
      <c r="S738" s="40"/>
      <c r="T738" s="40"/>
      <c r="U738" s="40"/>
      <c r="V738" s="40"/>
      <c r="W738" s="40"/>
      <c r="X738" s="40"/>
      <c r="Y738" s="40"/>
      <c r="Z738" s="40"/>
      <c r="AA738" s="40"/>
      <c r="AB738" s="40"/>
      <c r="AC738" s="40"/>
      <c r="AD738" s="40"/>
      <c r="AE738" s="40"/>
      <c r="AF738" s="40"/>
      <c r="AG738" s="40"/>
      <c r="AH738" s="40"/>
      <c r="AI738" s="40"/>
      <c r="AJ738" s="40"/>
      <c r="AK738" s="40"/>
      <c r="AL738" s="40"/>
      <c r="AM738" s="40"/>
      <c r="AN738" s="40"/>
      <c r="AO738" s="40"/>
      <c r="AP738" s="40"/>
    </row>
    <row r="739" spans="2:42" x14ac:dyDescent="0.2">
      <c r="B739" s="40"/>
      <c r="C739" s="40"/>
      <c r="D739" s="40"/>
      <c r="E739" s="40"/>
      <c r="F739" s="40"/>
      <c r="G739" s="40"/>
      <c r="H739" s="40"/>
      <c r="I739" s="40"/>
      <c r="J739" s="40"/>
      <c r="K739" s="40"/>
      <c r="L739" s="40"/>
      <c r="M739" s="40"/>
      <c r="N739" s="40"/>
      <c r="O739" s="40"/>
      <c r="P739" s="40"/>
      <c r="Q739" s="40"/>
      <c r="R739" s="40"/>
      <c r="S739" s="40"/>
      <c r="T739" s="40"/>
      <c r="U739" s="40"/>
      <c r="V739" s="40"/>
      <c r="W739" s="40"/>
      <c r="X739" s="40"/>
      <c r="Y739" s="40"/>
      <c r="Z739" s="40"/>
      <c r="AA739" s="40"/>
      <c r="AB739" s="40"/>
      <c r="AC739" s="40"/>
      <c r="AD739" s="40"/>
      <c r="AE739" s="40"/>
      <c r="AF739" s="40"/>
      <c r="AG739" s="40"/>
      <c r="AH739" s="40"/>
      <c r="AI739" s="40"/>
      <c r="AJ739" s="40"/>
      <c r="AK739" s="40"/>
      <c r="AL739" s="40"/>
      <c r="AM739" s="40"/>
      <c r="AN739" s="40"/>
      <c r="AO739" s="40"/>
      <c r="AP739" s="40"/>
    </row>
    <row r="740" spans="2:42" x14ac:dyDescent="0.2">
      <c r="B740" s="40"/>
      <c r="C740" s="40"/>
      <c r="D740" s="40"/>
      <c r="E740" s="40"/>
      <c r="F740" s="40"/>
      <c r="G740" s="40"/>
      <c r="H740" s="40"/>
      <c r="I740" s="40"/>
      <c r="J740" s="40"/>
      <c r="K740" s="40"/>
      <c r="L740" s="40"/>
      <c r="M740" s="40"/>
      <c r="N740" s="40"/>
      <c r="O740" s="40"/>
      <c r="P740" s="40"/>
      <c r="Q740" s="40"/>
      <c r="R740" s="40"/>
      <c r="S740" s="40"/>
      <c r="T740" s="40"/>
      <c r="U740" s="40"/>
      <c r="V740" s="40"/>
      <c r="W740" s="40"/>
      <c r="X740" s="40"/>
      <c r="Y740" s="40"/>
      <c r="Z740" s="40"/>
      <c r="AA740" s="40"/>
      <c r="AB740" s="40"/>
      <c r="AC740" s="40"/>
      <c r="AD740" s="40"/>
      <c r="AE740" s="40"/>
      <c r="AF740" s="40"/>
      <c r="AG740" s="40"/>
      <c r="AH740" s="40"/>
      <c r="AI740" s="40"/>
      <c r="AJ740" s="40"/>
      <c r="AK740" s="40"/>
      <c r="AL740" s="40"/>
      <c r="AM740" s="40"/>
      <c r="AN740" s="40"/>
      <c r="AO740" s="40"/>
      <c r="AP740" s="40"/>
    </row>
    <row r="741" spans="2:42" x14ac:dyDescent="0.2">
      <c r="B741" s="40"/>
      <c r="C741" s="40"/>
      <c r="D741" s="40"/>
      <c r="E741" s="40"/>
      <c r="F741" s="40"/>
      <c r="G741" s="40"/>
      <c r="H741" s="40"/>
      <c r="I741" s="40"/>
      <c r="J741" s="40"/>
      <c r="K741" s="40"/>
      <c r="L741" s="40"/>
      <c r="M741" s="40"/>
      <c r="N741" s="40"/>
      <c r="O741" s="40"/>
      <c r="P741" s="40"/>
      <c r="Q741" s="40"/>
      <c r="R741" s="40"/>
      <c r="S741" s="40"/>
      <c r="T741" s="40"/>
      <c r="U741" s="40"/>
      <c r="V741" s="40"/>
      <c r="W741" s="40"/>
      <c r="X741" s="40"/>
      <c r="Y741" s="40"/>
      <c r="Z741" s="40"/>
      <c r="AA741" s="40"/>
      <c r="AB741" s="40"/>
      <c r="AC741" s="40"/>
      <c r="AD741" s="40"/>
      <c r="AE741" s="40"/>
      <c r="AF741" s="40"/>
      <c r="AG741" s="40"/>
      <c r="AH741" s="40"/>
      <c r="AI741" s="40"/>
      <c r="AJ741" s="40"/>
      <c r="AK741" s="40"/>
      <c r="AL741" s="40"/>
      <c r="AM741" s="40"/>
      <c r="AN741" s="40"/>
      <c r="AO741" s="40"/>
      <c r="AP741" s="40"/>
    </row>
    <row r="742" spans="2:42" x14ac:dyDescent="0.2">
      <c r="B742" s="40"/>
      <c r="C742" s="40"/>
      <c r="D742" s="40"/>
      <c r="E742" s="40"/>
      <c r="F742" s="40"/>
      <c r="G742" s="40"/>
      <c r="H742" s="40"/>
      <c r="I742" s="40"/>
      <c r="J742" s="40"/>
      <c r="K742" s="40"/>
      <c r="L742" s="40"/>
      <c r="M742" s="40"/>
      <c r="N742" s="40"/>
      <c r="O742" s="40"/>
      <c r="P742" s="40"/>
      <c r="Q742" s="40"/>
      <c r="R742" s="40"/>
      <c r="S742" s="40"/>
      <c r="T742" s="40"/>
      <c r="U742" s="40"/>
      <c r="V742" s="40"/>
      <c r="W742" s="40"/>
      <c r="X742" s="40"/>
      <c r="Y742" s="40"/>
      <c r="Z742" s="40"/>
      <c r="AA742" s="40"/>
      <c r="AB742" s="40"/>
      <c r="AC742" s="40"/>
      <c r="AD742" s="40"/>
      <c r="AE742" s="40"/>
      <c r="AF742" s="40"/>
      <c r="AG742" s="40"/>
      <c r="AH742" s="40"/>
      <c r="AI742" s="40"/>
      <c r="AJ742" s="40"/>
      <c r="AK742" s="40"/>
      <c r="AL742" s="40"/>
      <c r="AM742" s="40"/>
      <c r="AN742" s="40"/>
      <c r="AO742" s="40"/>
      <c r="AP742" s="40"/>
    </row>
    <row r="743" spans="2:42" x14ac:dyDescent="0.2">
      <c r="B743" s="40"/>
      <c r="C743" s="40"/>
      <c r="D743" s="40"/>
      <c r="E743" s="40"/>
      <c r="F743" s="40"/>
      <c r="G743" s="40"/>
      <c r="H743" s="40"/>
      <c r="I743" s="40"/>
      <c r="J743" s="40"/>
      <c r="K743" s="40"/>
      <c r="L743" s="40"/>
      <c r="M743" s="40"/>
      <c r="N743" s="40"/>
      <c r="O743" s="40"/>
      <c r="P743" s="40"/>
      <c r="Q743" s="40"/>
      <c r="R743" s="40"/>
      <c r="S743" s="40"/>
      <c r="T743" s="40"/>
      <c r="U743" s="40"/>
      <c r="V743" s="40"/>
      <c r="W743" s="40"/>
      <c r="X743" s="40"/>
      <c r="Y743" s="40"/>
      <c r="Z743" s="40"/>
      <c r="AA743" s="40"/>
      <c r="AB743" s="40"/>
      <c r="AC743" s="40"/>
      <c r="AD743" s="40"/>
      <c r="AE743" s="40"/>
      <c r="AF743" s="40"/>
      <c r="AG743" s="40"/>
      <c r="AH743" s="40"/>
      <c r="AI743" s="40"/>
      <c r="AJ743" s="40"/>
      <c r="AK743" s="40"/>
      <c r="AL743" s="40"/>
      <c r="AM743" s="40"/>
      <c r="AN743" s="40"/>
      <c r="AO743" s="40"/>
      <c r="AP743" s="40"/>
    </row>
    <row r="744" spans="2:42" x14ac:dyDescent="0.2">
      <c r="B744" s="40"/>
      <c r="C744" s="40"/>
      <c r="D744" s="40"/>
      <c r="E744" s="40"/>
      <c r="F744" s="40"/>
      <c r="G744" s="40"/>
      <c r="H744" s="40"/>
      <c r="I744" s="40"/>
      <c r="J744" s="40"/>
      <c r="K744" s="40"/>
      <c r="L744" s="40"/>
      <c r="M744" s="40"/>
      <c r="N744" s="40"/>
      <c r="O744" s="40"/>
      <c r="P744" s="40"/>
      <c r="Q744" s="40"/>
      <c r="R744" s="40"/>
      <c r="S744" s="40"/>
      <c r="T744" s="40"/>
      <c r="U744" s="40"/>
      <c r="V744" s="40"/>
      <c r="W744" s="40"/>
      <c r="X744" s="40"/>
      <c r="Y744" s="40"/>
      <c r="Z744" s="40"/>
      <c r="AA744" s="40"/>
      <c r="AB744" s="40"/>
      <c r="AC744" s="40"/>
      <c r="AD744" s="40"/>
      <c r="AE744" s="40"/>
      <c r="AF744" s="40"/>
      <c r="AG744" s="40"/>
      <c r="AH744" s="40"/>
      <c r="AI744" s="40"/>
      <c r="AJ744" s="40"/>
      <c r="AK744" s="40"/>
      <c r="AL744" s="40"/>
      <c r="AM744" s="40"/>
      <c r="AN744" s="40"/>
      <c r="AO744" s="40"/>
      <c r="AP744" s="40"/>
    </row>
    <row r="745" spans="2:42" x14ac:dyDescent="0.2">
      <c r="B745" s="40"/>
      <c r="C745" s="40"/>
      <c r="D745" s="40"/>
      <c r="E745" s="40"/>
      <c r="F745" s="40"/>
      <c r="G745" s="40"/>
      <c r="H745" s="40"/>
      <c r="I745" s="40"/>
      <c r="J745" s="40"/>
      <c r="K745" s="40"/>
      <c r="L745" s="40"/>
      <c r="M745" s="40"/>
      <c r="N745" s="40"/>
      <c r="O745" s="40"/>
      <c r="P745" s="40"/>
      <c r="Q745" s="40"/>
      <c r="R745" s="40"/>
      <c r="S745" s="40"/>
      <c r="T745" s="40"/>
      <c r="U745" s="40"/>
      <c r="V745" s="40"/>
      <c r="W745" s="40"/>
      <c r="X745" s="40"/>
      <c r="Y745" s="40"/>
      <c r="Z745" s="40"/>
      <c r="AA745" s="40"/>
      <c r="AB745" s="40"/>
      <c r="AC745" s="40"/>
      <c r="AD745" s="40"/>
      <c r="AE745" s="40"/>
      <c r="AF745" s="40"/>
      <c r="AG745" s="40"/>
      <c r="AH745" s="40"/>
      <c r="AI745" s="40"/>
      <c r="AJ745" s="40"/>
      <c r="AK745" s="40"/>
      <c r="AL745" s="40"/>
      <c r="AM745" s="40"/>
      <c r="AN745" s="40"/>
      <c r="AO745" s="40"/>
      <c r="AP745" s="40"/>
    </row>
    <row r="746" spans="2:42" x14ac:dyDescent="0.2">
      <c r="B746" s="40"/>
      <c r="C746" s="40"/>
      <c r="D746" s="40"/>
      <c r="E746" s="40"/>
      <c r="F746" s="40"/>
      <c r="G746" s="40"/>
      <c r="H746" s="40"/>
      <c r="I746" s="40"/>
      <c r="J746" s="40"/>
      <c r="K746" s="40"/>
      <c r="L746" s="40"/>
      <c r="M746" s="40"/>
      <c r="N746" s="40"/>
      <c r="O746" s="40"/>
      <c r="P746" s="40"/>
      <c r="Q746" s="40"/>
      <c r="R746" s="40"/>
      <c r="S746" s="40"/>
      <c r="T746" s="40"/>
      <c r="U746" s="40"/>
      <c r="V746" s="40"/>
      <c r="W746" s="40"/>
      <c r="X746" s="40"/>
      <c r="Y746" s="40"/>
      <c r="Z746" s="40"/>
      <c r="AA746" s="40"/>
      <c r="AB746" s="40"/>
      <c r="AC746" s="40"/>
      <c r="AD746" s="40"/>
      <c r="AE746" s="40"/>
      <c r="AF746" s="40"/>
      <c r="AG746" s="40"/>
      <c r="AH746" s="40"/>
      <c r="AI746" s="40"/>
      <c r="AJ746" s="40"/>
      <c r="AK746" s="40"/>
      <c r="AL746" s="40"/>
      <c r="AM746" s="40"/>
      <c r="AN746" s="40"/>
      <c r="AO746" s="40"/>
      <c r="AP746" s="40"/>
    </row>
    <row r="747" spans="2:42" x14ac:dyDescent="0.2">
      <c r="B747" s="40"/>
      <c r="C747" s="40"/>
      <c r="D747" s="40"/>
      <c r="E747" s="40"/>
      <c r="F747" s="40"/>
      <c r="G747" s="40"/>
      <c r="H747" s="40"/>
      <c r="I747" s="40"/>
      <c r="J747" s="40"/>
      <c r="K747" s="40"/>
      <c r="L747" s="40"/>
      <c r="M747" s="40"/>
      <c r="N747" s="40"/>
      <c r="O747" s="40"/>
      <c r="P747" s="40"/>
      <c r="Q747" s="40"/>
      <c r="R747" s="40"/>
      <c r="S747" s="40"/>
      <c r="T747" s="40"/>
      <c r="U747" s="40"/>
      <c r="V747" s="40"/>
      <c r="W747" s="40"/>
      <c r="X747" s="40"/>
      <c r="Y747" s="40"/>
      <c r="Z747" s="40"/>
      <c r="AA747" s="40"/>
      <c r="AB747" s="40"/>
      <c r="AC747" s="40"/>
      <c r="AD747" s="40"/>
      <c r="AE747" s="40"/>
      <c r="AF747" s="40"/>
      <c r="AG747" s="40"/>
      <c r="AH747" s="40"/>
      <c r="AI747" s="40"/>
      <c r="AJ747" s="40"/>
      <c r="AK747" s="40"/>
      <c r="AL747" s="40"/>
      <c r="AM747" s="40"/>
      <c r="AN747" s="40"/>
      <c r="AO747" s="40"/>
      <c r="AP747" s="40"/>
    </row>
    <row r="748" spans="2:42" x14ac:dyDescent="0.2">
      <c r="B748" s="40"/>
      <c r="C748" s="40"/>
      <c r="D748" s="40"/>
      <c r="E748" s="40"/>
      <c r="F748" s="40"/>
      <c r="G748" s="40"/>
      <c r="H748" s="40"/>
      <c r="I748" s="40"/>
      <c r="J748" s="40"/>
      <c r="K748" s="40"/>
      <c r="L748" s="40"/>
      <c r="M748" s="40"/>
      <c r="N748" s="40"/>
      <c r="O748" s="40"/>
      <c r="P748" s="40"/>
      <c r="Q748" s="40"/>
      <c r="R748" s="40"/>
      <c r="S748" s="40"/>
      <c r="T748" s="40"/>
      <c r="U748" s="40"/>
      <c r="V748" s="40"/>
      <c r="W748" s="40"/>
      <c r="X748" s="40"/>
      <c r="Y748" s="40"/>
      <c r="Z748" s="40"/>
      <c r="AA748" s="40"/>
      <c r="AB748" s="40"/>
      <c r="AC748" s="40"/>
      <c r="AD748" s="40"/>
      <c r="AE748" s="40"/>
      <c r="AF748" s="40"/>
      <c r="AG748" s="40"/>
      <c r="AH748" s="40"/>
      <c r="AI748" s="40"/>
      <c r="AJ748" s="40"/>
      <c r="AK748" s="40"/>
      <c r="AL748" s="40"/>
      <c r="AM748" s="40"/>
      <c r="AN748" s="40"/>
      <c r="AO748" s="40"/>
      <c r="AP748" s="40"/>
    </row>
    <row r="749" spans="2:42" x14ac:dyDescent="0.2">
      <c r="B749" s="40"/>
      <c r="C749" s="40"/>
      <c r="D749" s="40"/>
      <c r="E749" s="40"/>
      <c r="F749" s="40"/>
      <c r="G749" s="40"/>
      <c r="H749" s="40"/>
      <c r="I749" s="40"/>
      <c r="J749" s="40"/>
      <c r="K749" s="40"/>
      <c r="L749" s="40"/>
      <c r="M749" s="40"/>
      <c r="N749" s="40"/>
      <c r="O749" s="40"/>
      <c r="P749" s="40"/>
      <c r="Q749" s="40"/>
      <c r="R749" s="40"/>
      <c r="S749" s="40"/>
      <c r="T749" s="40"/>
      <c r="U749" s="40"/>
      <c r="V749" s="40"/>
      <c r="W749" s="40"/>
      <c r="X749" s="40"/>
      <c r="Y749" s="40"/>
      <c r="Z749" s="40"/>
      <c r="AA749" s="40"/>
      <c r="AB749" s="40"/>
      <c r="AC749" s="40"/>
      <c r="AD749" s="40"/>
      <c r="AE749" s="40"/>
      <c r="AF749" s="40"/>
      <c r="AG749" s="40"/>
      <c r="AH749" s="40"/>
      <c r="AI749" s="40"/>
      <c r="AJ749" s="40"/>
      <c r="AK749" s="40"/>
      <c r="AL749" s="40"/>
      <c r="AM749" s="40"/>
      <c r="AN749" s="40"/>
      <c r="AO749" s="40"/>
      <c r="AP749" s="40"/>
    </row>
    <row r="750" spans="2:42" x14ac:dyDescent="0.2">
      <c r="B750" s="40"/>
      <c r="C750" s="40"/>
      <c r="D750" s="40"/>
      <c r="E750" s="40"/>
      <c r="F750" s="40"/>
      <c r="G750" s="40"/>
      <c r="H750" s="40"/>
      <c r="I750" s="40"/>
      <c r="J750" s="40"/>
      <c r="K750" s="40"/>
      <c r="L750" s="40"/>
      <c r="M750" s="40"/>
      <c r="N750" s="40"/>
      <c r="O750" s="40"/>
      <c r="P750" s="40"/>
      <c r="Q750" s="40"/>
      <c r="R750" s="40"/>
      <c r="S750" s="40"/>
      <c r="T750" s="40"/>
      <c r="U750" s="40"/>
      <c r="V750" s="40"/>
      <c r="W750" s="40"/>
      <c r="X750" s="40"/>
      <c r="Y750" s="40"/>
      <c r="Z750" s="40"/>
      <c r="AA750" s="40"/>
      <c r="AB750" s="40"/>
      <c r="AC750" s="40"/>
      <c r="AD750" s="40"/>
      <c r="AE750" s="40"/>
      <c r="AF750" s="40"/>
      <c r="AG750" s="40"/>
      <c r="AH750" s="40"/>
      <c r="AI750" s="40"/>
      <c r="AJ750" s="40"/>
      <c r="AK750" s="40"/>
      <c r="AL750" s="40"/>
      <c r="AM750" s="40"/>
      <c r="AN750" s="40"/>
      <c r="AO750" s="40"/>
      <c r="AP750" s="40"/>
    </row>
    <row r="751" spans="2:42" x14ac:dyDescent="0.2">
      <c r="B751" s="40"/>
      <c r="C751" s="40"/>
      <c r="D751" s="40"/>
      <c r="E751" s="40"/>
      <c r="F751" s="40"/>
      <c r="G751" s="40"/>
      <c r="H751" s="40"/>
      <c r="I751" s="40"/>
      <c r="J751" s="40"/>
      <c r="K751" s="40"/>
      <c r="L751" s="40"/>
      <c r="M751" s="40"/>
      <c r="N751" s="40"/>
      <c r="O751" s="40"/>
      <c r="P751" s="40"/>
      <c r="Q751" s="40"/>
      <c r="R751" s="40"/>
      <c r="S751" s="40"/>
      <c r="T751" s="40"/>
      <c r="U751" s="40"/>
      <c r="V751" s="40"/>
      <c r="W751" s="40"/>
      <c r="X751" s="40"/>
      <c r="Y751" s="40"/>
      <c r="Z751" s="40"/>
      <c r="AA751" s="40"/>
      <c r="AB751" s="40"/>
      <c r="AC751" s="40"/>
      <c r="AD751" s="40"/>
      <c r="AE751" s="40"/>
      <c r="AF751" s="40"/>
      <c r="AG751" s="40"/>
      <c r="AH751" s="40"/>
      <c r="AI751" s="40"/>
      <c r="AJ751" s="40"/>
      <c r="AK751" s="40"/>
      <c r="AL751" s="40"/>
      <c r="AM751" s="40"/>
      <c r="AN751" s="40"/>
      <c r="AO751" s="40"/>
      <c r="AP751" s="40"/>
    </row>
    <row r="752" spans="2:42" x14ac:dyDescent="0.2">
      <c r="B752" s="40"/>
      <c r="C752" s="40"/>
      <c r="D752" s="40"/>
      <c r="E752" s="40"/>
      <c r="F752" s="40"/>
      <c r="G752" s="40"/>
      <c r="H752" s="40"/>
      <c r="I752" s="40"/>
      <c r="J752" s="40"/>
      <c r="K752" s="40"/>
      <c r="L752" s="40"/>
      <c r="M752" s="40"/>
      <c r="N752" s="40"/>
      <c r="O752" s="40"/>
      <c r="P752" s="40"/>
      <c r="Q752" s="40"/>
      <c r="R752" s="40"/>
      <c r="S752" s="40"/>
      <c r="T752" s="40"/>
      <c r="U752" s="40"/>
      <c r="V752" s="40"/>
      <c r="W752" s="40"/>
      <c r="X752" s="40"/>
      <c r="Y752" s="40"/>
      <c r="Z752" s="40"/>
      <c r="AA752" s="40"/>
      <c r="AB752" s="40"/>
      <c r="AC752" s="40"/>
      <c r="AD752" s="40"/>
      <c r="AE752" s="40"/>
      <c r="AF752" s="40"/>
      <c r="AG752" s="40"/>
      <c r="AH752" s="40"/>
      <c r="AI752" s="40"/>
      <c r="AJ752" s="40"/>
      <c r="AK752" s="40"/>
      <c r="AL752" s="40"/>
      <c r="AM752" s="40"/>
      <c r="AN752" s="40"/>
      <c r="AO752" s="40"/>
      <c r="AP752" s="40"/>
    </row>
    <row r="753" spans="2:42" x14ac:dyDescent="0.2">
      <c r="B753" s="40"/>
      <c r="C753" s="40"/>
      <c r="D753" s="40"/>
      <c r="E753" s="40"/>
      <c r="F753" s="40"/>
      <c r="G753" s="40"/>
      <c r="H753" s="40"/>
      <c r="I753" s="40"/>
      <c r="J753" s="40"/>
      <c r="K753" s="40"/>
      <c r="L753" s="40"/>
      <c r="M753" s="40"/>
      <c r="N753" s="40"/>
      <c r="O753" s="40"/>
      <c r="P753" s="40"/>
      <c r="Q753" s="40"/>
      <c r="R753" s="40"/>
      <c r="S753" s="40"/>
      <c r="T753" s="40"/>
      <c r="U753" s="40"/>
      <c r="V753" s="40"/>
      <c r="W753" s="40"/>
      <c r="X753" s="40"/>
      <c r="Y753" s="40"/>
      <c r="Z753" s="40"/>
      <c r="AA753" s="40"/>
      <c r="AB753" s="40"/>
      <c r="AC753" s="40"/>
      <c r="AD753" s="40"/>
      <c r="AE753" s="40"/>
      <c r="AF753" s="40"/>
      <c r="AG753" s="40"/>
      <c r="AH753" s="40"/>
      <c r="AI753" s="40"/>
      <c r="AJ753" s="40"/>
      <c r="AK753" s="40"/>
      <c r="AL753" s="40"/>
      <c r="AM753" s="40"/>
      <c r="AN753" s="40"/>
      <c r="AO753" s="40"/>
      <c r="AP753" s="40"/>
    </row>
    <row r="754" spans="2:42" x14ac:dyDescent="0.2">
      <c r="B754" s="40"/>
      <c r="C754" s="40"/>
      <c r="D754" s="40"/>
      <c r="E754" s="40"/>
      <c r="F754" s="40"/>
      <c r="G754" s="40"/>
      <c r="H754" s="40"/>
      <c r="I754" s="40"/>
      <c r="J754" s="40"/>
      <c r="K754" s="40"/>
      <c r="L754" s="40"/>
      <c r="M754" s="40"/>
      <c r="N754" s="40"/>
      <c r="O754" s="40"/>
      <c r="P754" s="40"/>
      <c r="Q754" s="40"/>
      <c r="R754" s="40"/>
      <c r="S754" s="40"/>
      <c r="T754" s="40"/>
      <c r="U754" s="40"/>
      <c r="V754" s="40"/>
      <c r="W754" s="40"/>
      <c r="X754" s="40"/>
      <c r="Y754" s="40"/>
      <c r="Z754" s="40"/>
      <c r="AA754" s="40"/>
      <c r="AB754" s="40"/>
      <c r="AC754" s="40"/>
      <c r="AD754" s="40"/>
      <c r="AE754" s="40"/>
      <c r="AF754" s="40"/>
      <c r="AG754" s="40"/>
      <c r="AH754" s="40"/>
      <c r="AI754" s="40"/>
      <c r="AJ754" s="40"/>
      <c r="AK754" s="40"/>
      <c r="AL754" s="40"/>
      <c r="AM754" s="40"/>
      <c r="AN754" s="40"/>
      <c r="AO754" s="40"/>
      <c r="AP754" s="40"/>
    </row>
    <row r="755" spans="2:42" x14ac:dyDescent="0.2">
      <c r="B755" s="40"/>
      <c r="C755" s="40"/>
      <c r="D755" s="40"/>
      <c r="E755" s="40"/>
      <c r="F755" s="40"/>
      <c r="G755" s="40"/>
      <c r="H755" s="40"/>
      <c r="I755" s="40"/>
      <c r="J755" s="40"/>
      <c r="K755" s="40"/>
      <c r="L755" s="40"/>
      <c r="M755" s="40"/>
      <c r="N755" s="40"/>
      <c r="O755" s="40"/>
      <c r="P755" s="40"/>
      <c r="Q755" s="40"/>
      <c r="R755" s="40"/>
      <c r="S755" s="40"/>
      <c r="T755" s="40"/>
      <c r="U755" s="40"/>
      <c r="V755" s="40"/>
      <c r="W755" s="40"/>
      <c r="X755" s="40"/>
      <c r="Y755" s="40"/>
      <c r="Z755" s="40"/>
      <c r="AA755" s="40"/>
      <c r="AB755" s="40"/>
      <c r="AC755" s="40"/>
      <c r="AD755" s="40"/>
      <c r="AE755" s="40"/>
      <c r="AF755" s="40"/>
      <c r="AG755" s="40"/>
      <c r="AH755" s="40"/>
      <c r="AI755" s="40"/>
      <c r="AJ755" s="40"/>
      <c r="AK755" s="40"/>
      <c r="AL755" s="40"/>
      <c r="AM755" s="40"/>
      <c r="AN755" s="40"/>
      <c r="AO755" s="40"/>
      <c r="AP755" s="40"/>
    </row>
    <row r="756" spans="2:42" x14ac:dyDescent="0.2">
      <c r="B756" s="40"/>
      <c r="C756" s="40"/>
      <c r="D756" s="40"/>
      <c r="E756" s="40"/>
      <c r="F756" s="40"/>
      <c r="G756" s="40"/>
      <c r="H756" s="40"/>
      <c r="I756" s="40"/>
      <c r="J756" s="40"/>
      <c r="K756" s="40"/>
      <c r="L756" s="40"/>
      <c r="M756" s="40"/>
      <c r="N756" s="40"/>
      <c r="O756" s="40"/>
      <c r="P756" s="40"/>
      <c r="Q756" s="40"/>
      <c r="R756" s="40"/>
      <c r="S756" s="40"/>
      <c r="T756" s="40"/>
      <c r="U756" s="40"/>
      <c r="V756" s="40"/>
      <c r="W756" s="40"/>
      <c r="X756" s="40"/>
      <c r="Y756" s="40"/>
      <c r="Z756" s="40"/>
      <c r="AA756" s="40"/>
      <c r="AB756" s="40"/>
      <c r="AC756" s="40"/>
      <c r="AD756" s="40"/>
      <c r="AE756" s="40"/>
      <c r="AF756" s="40"/>
      <c r="AG756" s="40"/>
      <c r="AH756" s="40"/>
      <c r="AI756" s="40"/>
      <c r="AJ756" s="40"/>
      <c r="AK756" s="40"/>
      <c r="AL756" s="40"/>
      <c r="AM756" s="40"/>
      <c r="AN756" s="40"/>
      <c r="AO756" s="40"/>
      <c r="AP756" s="40"/>
    </row>
    <row r="757" spans="2:42" x14ac:dyDescent="0.2">
      <c r="B757" s="40"/>
      <c r="C757" s="40"/>
      <c r="D757" s="40"/>
      <c r="E757" s="40"/>
      <c r="F757" s="40"/>
      <c r="G757" s="40"/>
      <c r="H757" s="40"/>
      <c r="I757" s="40"/>
      <c r="J757" s="40"/>
      <c r="K757" s="40"/>
      <c r="L757" s="40"/>
      <c r="M757" s="40"/>
      <c r="N757" s="40"/>
      <c r="O757" s="40"/>
      <c r="P757" s="40"/>
      <c r="Q757" s="40"/>
      <c r="R757" s="40"/>
      <c r="S757" s="40"/>
      <c r="T757" s="40"/>
      <c r="U757" s="40"/>
      <c r="V757" s="40"/>
      <c r="W757" s="40"/>
      <c r="X757" s="40"/>
      <c r="Y757" s="40"/>
      <c r="Z757" s="40"/>
      <c r="AA757" s="40"/>
      <c r="AB757" s="40"/>
      <c r="AC757" s="40"/>
      <c r="AD757" s="40"/>
      <c r="AE757" s="40"/>
      <c r="AF757" s="40"/>
      <c r="AG757" s="40"/>
      <c r="AH757" s="40"/>
      <c r="AI757" s="40"/>
      <c r="AJ757" s="40"/>
      <c r="AK757" s="40"/>
      <c r="AL757" s="40"/>
      <c r="AM757" s="40"/>
      <c r="AN757" s="40"/>
      <c r="AO757" s="40"/>
      <c r="AP757" s="40"/>
    </row>
    <row r="758" spans="2:42" x14ac:dyDescent="0.2">
      <c r="B758" s="40"/>
      <c r="C758" s="40"/>
      <c r="D758" s="40"/>
      <c r="E758" s="40"/>
      <c r="F758" s="40"/>
      <c r="G758" s="40"/>
      <c r="H758" s="40"/>
      <c r="I758" s="40"/>
      <c r="J758" s="40"/>
      <c r="K758" s="40"/>
      <c r="L758" s="40"/>
      <c r="M758" s="40"/>
      <c r="N758" s="40"/>
      <c r="O758" s="40"/>
      <c r="P758" s="40"/>
      <c r="Q758" s="40"/>
      <c r="R758" s="40"/>
      <c r="S758" s="40"/>
      <c r="T758" s="40"/>
      <c r="U758" s="40"/>
      <c r="V758" s="40"/>
      <c r="W758" s="40"/>
      <c r="X758" s="40"/>
      <c r="Y758" s="40"/>
      <c r="Z758" s="40"/>
      <c r="AA758" s="40"/>
      <c r="AB758" s="40"/>
      <c r="AC758" s="40"/>
      <c r="AD758" s="40"/>
      <c r="AE758" s="40"/>
      <c r="AF758" s="40"/>
      <c r="AG758" s="40"/>
      <c r="AH758" s="40"/>
      <c r="AI758" s="40"/>
      <c r="AJ758" s="40"/>
      <c r="AK758" s="40"/>
      <c r="AL758" s="40"/>
      <c r="AM758" s="40"/>
      <c r="AN758" s="40"/>
      <c r="AO758" s="40"/>
      <c r="AP758" s="40"/>
    </row>
    <row r="759" spans="2:42" x14ac:dyDescent="0.2">
      <c r="B759" s="40"/>
      <c r="C759" s="40"/>
      <c r="D759" s="40"/>
      <c r="E759" s="40"/>
      <c r="F759" s="40"/>
      <c r="G759" s="40"/>
      <c r="H759" s="40"/>
      <c r="I759" s="40"/>
      <c r="J759" s="40"/>
      <c r="K759" s="40"/>
      <c r="L759" s="40"/>
      <c r="M759" s="40"/>
      <c r="N759" s="40"/>
      <c r="O759" s="40"/>
      <c r="P759" s="40"/>
      <c r="Q759" s="40"/>
      <c r="R759" s="40"/>
      <c r="S759" s="40"/>
      <c r="T759" s="40"/>
      <c r="U759" s="40"/>
      <c r="V759" s="40"/>
      <c r="W759" s="40"/>
      <c r="X759" s="40"/>
      <c r="Y759" s="40"/>
      <c r="Z759" s="40"/>
      <c r="AA759" s="40"/>
      <c r="AB759" s="40"/>
      <c r="AC759" s="40"/>
      <c r="AD759" s="40"/>
      <c r="AE759" s="40"/>
      <c r="AF759" s="40"/>
      <c r="AG759" s="40"/>
      <c r="AH759" s="40"/>
      <c r="AI759" s="40"/>
      <c r="AJ759" s="40"/>
      <c r="AK759" s="40"/>
      <c r="AL759" s="40"/>
      <c r="AM759" s="40"/>
      <c r="AN759" s="40"/>
      <c r="AO759" s="40"/>
      <c r="AP759" s="40"/>
    </row>
    <row r="760" spans="2:42" x14ac:dyDescent="0.2">
      <c r="B760" s="40"/>
      <c r="C760" s="40"/>
      <c r="D760" s="40"/>
      <c r="E760" s="40"/>
      <c r="F760" s="40"/>
      <c r="G760" s="40"/>
      <c r="H760" s="40"/>
      <c r="I760" s="40"/>
      <c r="J760" s="40"/>
      <c r="K760" s="40"/>
      <c r="L760" s="40"/>
      <c r="M760" s="40"/>
      <c r="N760" s="40"/>
      <c r="O760" s="40"/>
      <c r="P760" s="40"/>
      <c r="Q760" s="40"/>
      <c r="R760" s="40"/>
      <c r="S760" s="40"/>
      <c r="T760" s="40"/>
      <c r="U760" s="40"/>
      <c r="V760" s="40"/>
      <c r="W760" s="40"/>
      <c r="X760" s="40"/>
      <c r="Y760" s="40"/>
      <c r="Z760" s="40"/>
      <c r="AA760" s="40"/>
      <c r="AB760" s="40"/>
      <c r="AC760" s="40"/>
      <c r="AD760" s="40"/>
      <c r="AE760" s="40"/>
      <c r="AF760" s="40"/>
      <c r="AG760" s="40"/>
      <c r="AH760" s="40"/>
      <c r="AI760" s="40"/>
      <c r="AJ760" s="40"/>
      <c r="AK760" s="40"/>
      <c r="AL760" s="40"/>
      <c r="AM760" s="40"/>
      <c r="AN760" s="40"/>
      <c r="AO760" s="40"/>
      <c r="AP760" s="40"/>
    </row>
    <row r="761" spans="2:42" x14ac:dyDescent="0.2">
      <c r="B761" s="40"/>
      <c r="C761" s="40"/>
      <c r="D761" s="40"/>
      <c r="E761" s="40"/>
      <c r="F761" s="40"/>
      <c r="G761" s="40"/>
      <c r="H761" s="40"/>
      <c r="I761" s="40"/>
      <c r="J761" s="40"/>
      <c r="K761" s="40"/>
      <c r="L761" s="40"/>
      <c r="M761" s="40"/>
      <c r="N761" s="40"/>
      <c r="O761" s="40"/>
      <c r="P761" s="40"/>
      <c r="Q761" s="40"/>
      <c r="R761" s="40"/>
      <c r="S761" s="40"/>
      <c r="T761" s="40"/>
      <c r="U761" s="40"/>
      <c r="V761" s="40"/>
      <c r="W761" s="40"/>
      <c r="X761" s="40"/>
      <c r="Y761" s="40"/>
      <c r="Z761" s="40"/>
      <c r="AA761" s="40"/>
      <c r="AB761" s="40"/>
      <c r="AC761" s="40"/>
      <c r="AD761" s="40"/>
      <c r="AE761" s="40"/>
      <c r="AF761" s="40"/>
      <c r="AG761" s="40"/>
      <c r="AH761" s="40"/>
      <c r="AI761" s="40"/>
      <c r="AJ761" s="40"/>
      <c r="AK761" s="40"/>
      <c r="AL761" s="40"/>
      <c r="AM761" s="40"/>
      <c r="AN761" s="40"/>
      <c r="AO761" s="40"/>
      <c r="AP761" s="40"/>
    </row>
    <row r="762" spans="2:42" x14ac:dyDescent="0.2">
      <c r="B762" s="40"/>
      <c r="C762" s="40"/>
      <c r="D762" s="40"/>
      <c r="E762" s="40"/>
      <c r="F762" s="40"/>
      <c r="G762" s="40"/>
      <c r="H762" s="40"/>
      <c r="I762" s="40"/>
      <c r="J762" s="40"/>
      <c r="K762" s="40"/>
      <c r="L762" s="40"/>
      <c r="M762" s="40"/>
      <c r="N762" s="40"/>
      <c r="O762" s="40"/>
      <c r="P762" s="40"/>
      <c r="Q762" s="40"/>
      <c r="R762" s="40"/>
      <c r="S762" s="40"/>
      <c r="T762" s="40"/>
      <c r="U762" s="40"/>
      <c r="V762" s="40"/>
      <c r="W762" s="40"/>
      <c r="X762" s="40"/>
      <c r="Y762" s="40"/>
      <c r="Z762" s="40"/>
      <c r="AA762" s="40"/>
      <c r="AB762" s="40"/>
      <c r="AC762" s="40"/>
      <c r="AD762" s="40"/>
      <c r="AE762" s="40"/>
      <c r="AF762" s="40"/>
      <c r="AG762" s="40"/>
      <c r="AH762" s="40"/>
      <c r="AI762" s="40"/>
      <c r="AJ762" s="40"/>
      <c r="AK762" s="40"/>
      <c r="AL762" s="40"/>
      <c r="AM762" s="40"/>
      <c r="AN762" s="40"/>
      <c r="AO762" s="40"/>
      <c r="AP762" s="40"/>
    </row>
    <row r="763" spans="2:42" x14ac:dyDescent="0.2">
      <c r="B763" s="40"/>
      <c r="C763" s="40"/>
      <c r="D763" s="40"/>
      <c r="E763" s="40"/>
      <c r="F763" s="40"/>
      <c r="G763" s="40"/>
      <c r="H763" s="40"/>
      <c r="I763" s="40"/>
      <c r="J763" s="40"/>
      <c r="K763" s="40"/>
      <c r="L763" s="40"/>
      <c r="M763" s="40"/>
      <c r="N763" s="40"/>
      <c r="O763" s="40"/>
      <c r="P763" s="40"/>
      <c r="Q763" s="40"/>
      <c r="R763" s="40"/>
      <c r="S763" s="40"/>
      <c r="T763" s="40"/>
      <c r="U763" s="40"/>
      <c r="V763" s="40"/>
      <c r="W763" s="40"/>
      <c r="X763" s="40"/>
      <c r="Y763" s="40"/>
      <c r="Z763" s="40"/>
      <c r="AA763" s="40"/>
      <c r="AB763" s="40"/>
      <c r="AC763" s="40"/>
      <c r="AD763" s="40"/>
      <c r="AE763" s="40"/>
      <c r="AF763" s="40"/>
      <c r="AG763" s="40"/>
      <c r="AH763" s="40"/>
      <c r="AI763" s="40"/>
      <c r="AJ763" s="40"/>
      <c r="AK763" s="40"/>
      <c r="AL763" s="40"/>
      <c r="AM763" s="40"/>
      <c r="AN763" s="40"/>
      <c r="AO763" s="40"/>
      <c r="AP763" s="40"/>
    </row>
    <row r="764" spans="2:42" x14ac:dyDescent="0.2">
      <c r="B764" s="40"/>
      <c r="C764" s="40"/>
      <c r="D764" s="40"/>
      <c r="E764" s="40"/>
      <c r="F764" s="40"/>
      <c r="G764" s="40"/>
      <c r="H764" s="40"/>
      <c r="I764" s="40"/>
      <c r="J764" s="40"/>
      <c r="K764" s="40"/>
      <c r="L764" s="40"/>
      <c r="M764" s="40"/>
      <c r="N764" s="40"/>
      <c r="O764" s="40"/>
      <c r="P764" s="40"/>
      <c r="Q764" s="40"/>
      <c r="R764" s="40"/>
      <c r="S764" s="40"/>
      <c r="T764" s="40"/>
      <c r="U764" s="40"/>
      <c r="V764" s="40"/>
      <c r="W764" s="40"/>
      <c r="X764" s="40"/>
      <c r="Y764" s="40"/>
      <c r="Z764" s="40"/>
      <c r="AA764" s="40"/>
      <c r="AB764" s="40"/>
      <c r="AC764" s="40"/>
      <c r="AD764" s="40"/>
      <c r="AE764" s="40"/>
      <c r="AF764" s="40"/>
      <c r="AG764" s="40"/>
      <c r="AH764" s="40"/>
      <c r="AI764" s="40"/>
      <c r="AJ764" s="40"/>
      <c r="AK764" s="40"/>
      <c r="AL764" s="40"/>
      <c r="AM764" s="40"/>
      <c r="AN764" s="40"/>
      <c r="AO764" s="40"/>
      <c r="AP764" s="40"/>
    </row>
    <row r="765" spans="2:42" x14ac:dyDescent="0.2">
      <c r="B765" s="40"/>
      <c r="C765" s="40"/>
      <c r="D765" s="40"/>
      <c r="E765" s="40"/>
      <c r="F765" s="40"/>
      <c r="G765" s="40"/>
      <c r="H765" s="40"/>
      <c r="I765" s="40"/>
      <c r="J765" s="40"/>
      <c r="K765" s="40"/>
      <c r="L765" s="40"/>
      <c r="M765" s="40"/>
      <c r="N765" s="40"/>
      <c r="O765" s="40"/>
      <c r="P765" s="40"/>
      <c r="Q765" s="40"/>
      <c r="R765" s="40"/>
      <c r="S765" s="40"/>
      <c r="T765" s="40"/>
      <c r="U765" s="40"/>
      <c r="V765" s="40"/>
      <c r="W765" s="40"/>
      <c r="X765" s="40"/>
      <c r="Y765" s="40"/>
      <c r="Z765" s="40"/>
      <c r="AA765" s="40"/>
      <c r="AB765" s="40"/>
      <c r="AC765" s="40"/>
      <c r="AD765" s="40"/>
      <c r="AE765" s="40"/>
      <c r="AF765" s="40"/>
      <c r="AG765" s="40"/>
      <c r="AH765" s="40"/>
      <c r="AI765" s="40"/>
      <c r="AJ765" s="40"/>
      <c r="AK765" s="40"/>
      <c r="AL765" s="40"/>
      <c r="AM765" s="40"/>
      <c r="AN765" s="40"/>
      <c r="AO765" s="40"/>
      <c r="AP765" s="40"/>
    </row>
    <row r="766" spans="2:42" x14ac:dyDescent="0.2">
      <c r="B766" s="40"/>
      <c r="C766" s="40"/>
      <c r="D766" s="40"/>
      <c r="E766" s="40"/>
      <c r="F766" s="40"/>
      <c r="G766" s="40"/>
      <c r="H766" s="40"/>
      <c r="I766" s="40"/>
      <c r="J766" s="40"/>
      <c r="K766" s="40"/>
      <c r="L766" s="40"/>
      <c r="M766" s="40"/>
      <c r="N766" s="40"/>
      <c r="O766" s="40"/>
      <c r="P766" s="40"/>
      <c r="Q766" s="40"/>
      <c r="R766" s="40"/>
      <c r="S766" s="40"/>
      <c r="T766" s="40"/>
      <c r="U766" s="40"/>
      <c r="V766" s="40"/>
      <c r="W766" s="40"/>
      <c r="X766" s="40"/>
      <c r="Y766" s="40"/>
      <c r="Z766" s="40"/>
      <c r="AA766" s="40"/>
      <c r="AB766" s="40"/>
      <c r="AC766" s="40"/>
      <c r="AD766" s="40"/>
      <c r="AE766" s="40"/>
      <c r="AF766" s="40"/>
      <c r="AG766" s="40"/>
      <c r="AH766" s="40"/>
      <c r="AI766" s="40"/>
      <c r="AJ766" s="40"/>
      <c r="AK766" s="40"/>
      <c r="AL766" s="40"/>
      <c r="AM766" s="40"/>
      <c r="AN766" s="40"/>
      <c r="AO766" s="40"/>
      <c r="AP766" s="40"/>
    </row>
    <row r="767" spans="2:42" x14ac:dyDescent="0.2">
      <c r="B767" s="40"/>
      <c r="C767" s="40"/>
      <c r="D767" s="40"/>
      <c r="E767" s="40"/>
      <c r="F767" s="40"/>
      <c r="G767" s="40"/>
      <c r="H767" s="40"/>
      <c r="I767" s="40"/>
      <c r="J767" s="40"/>
      <c r="K767" s="40"/>
      <c r="L767" s="40"/>
      <c r="M767" s="40"/>
      <c r="N767" s="40"/>
      <c r="O767" s="40"/>
      <c r="P767" s="40"/>
      <c r="Q767" s="40"/>
      <c r="R767" s="40"/>
      <c r="S767" s="40"/>
      <c r="T767" s="40"/>
      <c r="U767" s="40"/>
      <c r="V767" s="40"/>
      <c r="W767" s="40"/>
      <c r="X767" s="40"/>
      <c r="Y767" s="40"/>
      <c r="Z767" s="40"/>
      <c r="AA767" s="40"/>
      <c r="AB767" s="40"/>
      <c r="AC767" s="40"/>
      <c r="AD767" s="40"/>
      <c r="AE767" s="40"/>
      <c r="AF767" s="40"/>
      <c r="AG767" s="40"/>
      <c r="AH767" s="40"/>
      <c r="AI767" s="40"/>
      <c r="AJ767" s="40"/>
      <c r="AK767" s="40"/>
      <c r="AL767" s="40"/>
      <c r="AM767" s="40"/>
      <c r="AN767" s="40"/>
      <c r="AO767" s="40"/>
      <c r="AP767" s="40"/>
    </row>
    <row r="768" spans="2:42" x14ac:dyDescent="0.2">
      <c r="B768" s="40"/>
      <c r="C768" s="40"/>
      <c r="D768" s="40"/>
      <c r="E768" s="40"/>
      <c r="F768" s="40"/>
      <c r="G768" s="40"/>
      <c r="H768" s="40"/>
      <c r="I768" s="40"/>
      <c r="J768" s="40"/>
      <c r="K768" s="40"/>
      <c r="L768" s="40"/>
      <c r="M768" s="40"/>
      <c r="N768" s="40"/>
      <c r="O768" s="40"/>
      <c r="P768" s="40"/>
      <c r="Q768" s="40"/>
      <c r="R768" s="40"/>
      <c r="S768" s="40"/>
      <c r="T768" s="40"/>
      <c r="U768" s="40"/>
      <c r="V768" s="40"/>
      <c r="W768" s="40"/>
      <c r="X768" s="40"/>
      <c r="Y768" s="40"/>
      <c r="Z768" s="40"/>
      <c r="AA768" s="40"/>
      <c r="AB768" s="40"/>
      <c r="AC768" s="40"/>
      <c r="AD768" s="40"/>
      <c r="AE768" s="40"/>
      <c r="AF768" s="40"/>
      <c r="AG768" s="40"/>
      <c r="AH768" s="40"/>
      <c r="AI768" s="40"/>
      <c r="AJ768" s="40"/>
      <c r="AK768" s="40"/>
      <c r="AL768" s="40"/>
      <c r="AM768" s="40"/>
      <c r="AN768" s="40"/>
      <c r="AO768" s="40"/>
      <c r="AP768" s="40"/>
    </row>
    <row r="769" spans="2:42" x14ac:dyDescent="0.2">
      <c r="B769" s="40"/>
      <c r="C769" s="40"/>
      <c r="D769" s="40"/>
      <c r="E769" s="40"/>
      <c r="F769" s="40"/>
      <c r="G769" s="40"/>
      <c r="H769" s="40"/>
      <c r="I769" s="40"/>
      <c r="J769" s="40"/>
      <c r="K769" s="40"/>
      <c r="L769" s="40"/>
      <c r="M769" s="40"/>
      <c r="N769" s="40"/>
      <c r="O769" s="40"/>
      <c r="P769" s="40"/>
      <c r="Q769" s="40"/>
      <c r="R769" s="40"/>
      <c r="S769" s="40"/>
      <c r="T769" s="40"/>
      <c r="U769" s="40"/>
      <c r="V769" s="40"/>
      <c r="W769" s="40"/>
      <c r="X769" s="40"/>
      <c r="Y769" s="40"/>
      <c r="Z769" s="40"/>
      <c r="AA769" s="40"/>
      <c r="AB769" s="40"/>
      <c r="AC769" s="40"/>
      <c r="AD769" s="40"/>
      <c r="AE769" s="40"/>
      <c r="AF769" s="40"/>
      <c r="AG769" s="40"/>
      <c r="AH769" s="40"/>
      <c r="AI769" s="40"/>
      <c r="AJ769" s="40"/>
      <c r="AK769" s="40"/>
      <c r="AL769" s="40"/>
      <c r="AM769" s="40"/>
      <c r="AN769" s="40"/>
      <c r="AO769" s="40"/>
      <c r="AP769" s="40"/>
    </row>
    <row r="770" spans="2:42" x14ac:dyDescent="0.2">
      <c r="B770" s="40"/>
      <c r="C770" s="40"/>
      <c r="D770" s="40"/>
      <c r="E770" s="40"/>
      <c r="F770" s="40"/>
      <c r="G770" s="40"/>
      <c r="H770" s="40"/>
      <c r="I770" s="40"/>
      <c r="J770" s="40"/>
      <c r="K770" s="40"/>
      <c r="L770" s="40"/>
      <c r="M770" s="40"/>
      <c r="N770" s="40"/>
      <c r="O770" s="40"/>
      <c r="P770" s="40"/>
      <c r="Q770" s="40"/>
      <c r="R770" s="40"/>
      <c r="S770" s="40"/>
      <c r="T770" s="40"/>
      <c r="U770" s="40"/>
      <c r="V770" s="40"/>
      <c r="W770" s="40"/>
      <c r="X770" s="40"/>
      <c r="Y770" s="40"/>
      <c r="Z770" s="40"/>
      <c r="AA770" s="40"/>
      <c r="AB770" s="40"/>
      <c r="AC770" s="40"/>
      <c r="AD770" s="40"/>
      <c r="AE770" s="40"/>
      <c r="AF770" s="40"/>
      <c r="AG770" s="40"/>
      <c r="AH770" s="40"/>
      <c r="AI770" s="40"/>
      <c r="AJ770" s="40"/>
      <c r="AK770" s="40"/>
      <c r="AL770" s="40"/>
      <c r="AM770" s="40"/>
      <c r="AN770" s="40"/>
      <c r="AO770" s="40"/>
      <c r="AP770" s="40"/>
    </row>
    <row r="771" spans="2:42" x14ac:dyDescent="0.2">
      <c r="B771" s="40"/>
      <c r="C771" s="40"/>
      <c r="D771" s="40"/>
      <c r="E771" s="40"/>
      <c r="F771" s="40"/>
      <c r="G771" s="40"/>
      <c r="H771" s="40"/>
      <c r="I771" s="40"/>
      <c r="J771" s="40"/>
      <c r="K771" s="40"/>
      <c r="L771" s="40"/>
      <c r="M771" s="40"/>
      <c r="N771" s="40"/>
      <c r="O771" s="40"/>
      <c r="P771" s="40"/>
      <c r="Q771" s="40"/>
      <c r="R771" s="40"/>
      <c r="S771" s="40"/>
      <c r="T771" s="40"/>
      <c r="U771" s="40"/>
      <c r="V771" s="40"/>
      <c r="W771" s="40"/>
      <c r="X771" s="40"/>
      <c r="Y771" s="40"/>
      <c r="Z771" s="40"/>
      <c r="AA771" s="40"/>
      <c r="AB771" s="40"/>
      <c r="AC771" s="40"/>
      <c r="AD771" s="40"/>
      <c r="AE771" s="40"/>
      <c r="AF771" s="40"/>
      <c r="AG771" s="40"/>
      <c r="AH771" s="40"/>
      <c r="AI771" s="40"/>
      <c r="AJ771" s="40"/>
      <c r="AK771" s="40"/>
      <c r="AL771" s="40"/>
      <c r="AM771" s="40"/>
      <c r="AN771" s="40"/>
      <c r="AO771" s="40"/>
      <c r="AP771" s="40"/>
    </row>
    <row r="772" spans="2:42" x14ac:dyDescent="0.2">
      <c r="B772" s="40"/>
      <c r="C772" s="40"/>
      <c r="D772" s="40"/>
      <c r="E772" s="40"/>
      <c r="F772" s="40"/>
      <c r="G772" s="40"/>
      <c r="H772" s="40"/>
      <c r="I772" s="40"/>
      <c r="J772" s="40"/>
      <c r="K772" s="40"/>
      <c r="L772" s="40"/>
      <c r="M772" s="40"/>
      <c r="N772" s="40"/>
      <c r="O772" s="40"/>
      <c r="P772" s="40"/>
      <c r="Q772" s="40"/>
      <c r="R772" s="40"/>
      <c r="S772" s="40"/>
      <c r="T772" s="40"/>
      <c r="U772" s="40"/>
      <c r="V772" s="40"/>
      <c r="W772" s="40"/>
      <c r="X772" s="40"/>
      <c r="Y772" s="40"/>
      <c r="Z772" s="40"/>
      <c r="AA772" s="40"/>
      <c r="AB772" s="40"/>
      <c r="AC772" s="40"/>
      <c r="AD772" s="40"/>
      <c r="AE772" s="40"/>
      <c r="AF772" s="40"/>
      <c r="AG772" s="40"/>
      <c r="AH772" s="40"/>
      <c r="AI772" s="40"/>
      <c r="AJ772" s="40"/>
      <c r="AK772" s="40"/>
      <c r="AL772" s="40"/>
      <c r="AM772" s="40"/>
      <c r="AN772" s="40"/>
      <c r="AO772" s="40"/>
      <c r="AP772" s="40"/>
    </row>
    <row r="773" spans="2:42" x14ac:dyDescent="0.2">
      <c r="B773" s="40"/>
      <c r="C773" s="40"/>
      <c r="D773" s="40"/>
      <c r="E773" s="40"/>
      <c r="F773" s="40"/>
      <c r="G773" s="40"/>
      <c r="H773" s="40"/>
      <c r="I773" s="40"/>
      <c r="J773" s="40"/>
      <c r="K773" s="40"/>
      <c r="L773" s="40"/>
      <c r="M773" s="40"/>
      <c r="N773" s="40"/>
      <c r="O773" s="40"/>
      <c r="P773" s="40"/>
      <c r="Q773" s="40"/>
      <c r="R773" s="40"/>
      <c r="S773" s="40"/>
      <c r="T773" s="40"/>
      <c r="U773" s="40"/>
      <c r="V773" s="40"/>
      <c r="W773" s="40"/>
      <c r="X773" s="40"/>
      <c r="Y773" s="40"/>
      <c r="Z773" s="40"/>
      <c r="AA773" s="40"/>
      <c r="AB773" s="40"/>
      <c r="AC773" s="40"/>
      <c r="AD773" s="40"/>
      <c r="AE773" s="40"/>
      <c r="AF773" s="40"/>
      <c r="AG773" s="40"/>
      <c r="AH773" s="40"/>
      <c r="AI773" s="40"/>
      <c r="AJ773" s="40"/>
      <c r="AK773" s="40"/>
      <c r="AL773" s="40"/>
      <c r="AM773" s="40"/>
      <c r="AN773" s="40"/>
      <c r="AO773" s="40"/>
      <c r="AP773" s="40"/>
    </row>
    <row r="774" spans="2:42" x14ac:dyDescent="0.2">
      <c r="B774" s="40"/>
      <c r="C774" s="40"/>
      <c r="D774" s="40"/>
      <c r="E774" s="40"/>
      <c r="F774" s="40"/>
      <c r="G774" s="40"/>
      <c r="H774" s="40"/>
      <c r="I774" s="40"/>
      <c r="J774" s="40"/>
      <c r="K774" s="40"/>
      <c r="L774" s="40"/>
      <c r="M774" s="40"/>
      <c r="N774" s="40"/>
      <c r="O774" s="40"/>
      <c r="P774" s="40"/>
      <c r="Q774" s="40"/>
      <c r="R774" s="40"/>
      <c r="S774" s="40"/>
      <c r="T774" s="40"/>
      <c r="U774" s="40"/>
      <c r="V774" s="40"/>
      <c r="W774" s="40"/>
      <c r="X774" s="40"/>
      <c r="Y774" s="40"/>
      <c r="Z774" s="40"/>
      <c r="AA774" s="40"/>
      <c r="AB774" s="40"/>
      <c r="AC774" s="40"/>
      <c r="AD774" s="40"/>
      <c r="AE774" s="40"/>
      <c r="AF774" s="40"/>
      <c r="AG774" s="40"/>
      <c r="AH774" s="40"/>
      <c r="AI774" s="40"/>
      <c r="AJ774" s="40"/>
      <c r="AK774" s="40"/>
      <c r="AL774" s="40"/>
      <c r="AM774" s="40"/>
      <c r="AN774" s="40"/>
      <c r="AO774" s="40"/>
      <c r="AP774" s="40"/>
    </row>
    <row r="775" spans="2:42" x14ac:dyDescent="0.2">
      <c r="B775" s="40"/>
      <c r="C775" s="40"/>
      <c r="D775" s="40"/>
      <c r="E775" s="40"/>
      <c r="F775" s="40"/>
      <c r="G775" s="40"/>
      <c r="H775" s="40"/>
      <c r="I775" s="40"/>
      <c r="J775" s="40"/>
      <c r="K775" s="40"/>
      <c r="L775" s="40"/>
      <c r="M775" s="40"/>
      <c r="N775" s="40"/>
      <c r="O775" s="40"/>
      <c r="P775" s="40"/>
      <c r="Q775" s="40"/>
      <c r="R775" s="40"/>
      <c r="S775" s="40"/>
      <c r="T775" s="40"/>
      <c r="U775" s="40"/>
      <c r="V775" s="40"/>
      <c r="W775" s="40"/>
      <c r="X775" s="40"/>
      <c r="Y775" s="40"/>
      <c r="Z775" s="40"/>
      <c r="AA775" s="40"/>
      <c r="AB775" s="40"/>
      <c r="AC775" s="40"/>
      <c r="AD775" s="40"/>
      <c r="AE775" s="40"/>
      <c r="AF775" s="40"/>
      <c r="AG775" s="40"/>
      <c r="AH775" s="40"/>
      <c r="AI775" s="40"/>
      <c r="AJ775" s="40"/>
      <c r="AK775" s="40"/>
      <c r="AL775" s="40"/>
      <c r="AM775" s="40"/>
      <c r="AN775" s="40"/>
      <c r="AO775" s="40"/>
      <c r="AP775" s="40"/>
    </row>
    <row r="776" spans="2:42" x14ac:dyDescent="0.2">
      <c r="B776" s="40"/>
      <c r="C776" s="40"/>
      <c r="D776" s="40"/>
      <c r="E776" s="40"/>
      <c r="F776" s="40"/>
      <c r="G776" s="40"/>
      <c r="H776" s="40"/>
      <c r="I776" s="40"/>
      <c r="J776" s="40"/>
      <c r="K776" s="40"/>
      <c r="L776" s="40"/>
      <c r="M776" s="40"/>
      <c r="N776" s="40"/>
      <c r="O776" s="40"/>
      <c r="P776" s="40"/>
      <c r="Q776" s="40"/>
      <c r="R776" s="40"/>
      <c r="S776" s="40"/>
      <c r="T776" s="40"/>
      <c r="U776" s="40"/>
      <c r="V776" s="40"/>
      <c r="W776" s="40"/>
      <c r="X776" s="40"/>
      <c r="Y776" s="40"/>
      <c r="Z776" s="40"/>
      <c r="AA776" s="40"/>
      <c r="AB776" s="40"/>
      <c r="AC776" s="40"/>
      <c r="AD776" s="40"/>
      <c r="AE776" s="40"/>
      <c r="AF776" s="40"/>
      <c r="AG776" s="40"/>
      <c r="AH776" s="40"/>
      <c r="AI776" s="40"/>
      <c r="AJ776" s="40"/>
      <c r="AK776" s="40"/>
      <c r="AL776" s="40"/>
      <c r="AM776" s="40"/>
      <c r="AN776" s="40"/>
      <c r="AO776" s="40"/>
      <c r="AP776" s="40"/>
    </row>
    <row r="777" spans="2:42" x14ac:dyDescent="0.2">
      <c r="B777" s="40"/>
      <c r="C777" s="40"/>
      <c r="D777" s="40"/>
      <c r="E777" s="40"/>
      <c r="F777" s="40"/>
      <c r="G777" s="40"/>
      <c r="H777" s="40"/>
      <c r="I777" s="40"/>
      <c r="J777" s="40"/>
      <c r="K777" s="40"/>
      <c r="L777" s="40"/>
      <c r="M777" s="40"/>
      <c r="N777" s="40"/>
      <c r="O777" s="40"/>
      <c r="P777" s="40"/>
      <c r="Q777" s="40"/>
      <c r="R777" s="40"/>
      <c r="S777" s="40"/>
      <c r="T777" s="40"/>
      <c r="U777" s="40"/>
      <c r="V777" s="40"/>
      <c r="W777" s="40"/>
      <c r="X777" s="40"/>
      <c r="Y777" s="40"/>
      <c r="Z777" s="40"/>
      <c r="AA777" s="40"/>
      <c r="AB777" s="40"/>
      <c r="AC777" s="40"/>
      <c r="AD777" s="40"/>
      <c r="AE777" s="40"/>
      <c r="AF777" s="40"/>
      <c r="AG777" s="40"/>
      <c r="AH777" s="40"/>
      <c r="AI777" s="40"/>
      <c r="AJ777" s="40"/>
      <c r="AK777" s="40"/>
      <c r="AL777" s="40"/>
      <c r="AM777" s="40"/>
      <c r="AN777" s="40"/>
      <c r="AO777" s="40"/>
      <c r="AP777" s="40"/>
    </row>
    <row r="778" spans="2:42" x14ac:dyDescent="0.2">
      <c r="B778" s="40"/>
      <c r="C778" s="40"/>
      <c r="D778" s="40"/>
      <c r="E778" s="40"/>
      <c r="F778" s="40"/>
      <c r="G778" s="40"/>
      <c r="H778" s="40"/>
      <c r="I778" s="40"/>
      <c r="J778" s="40"/>
      <c r="K778" s="40"/>
      <c r="L778" s="40"/>
      <c r="M778" s="40"/>
      <c r="N778" s="40"/>
      <c r="O778" s="40"/>
      <c r="P778" s="40"/>
      <c r="Q778" s="40"/>
      <c r="R778" s="40"/>
      <c r="S778" s="40"/>
      <c r="T778" s="40"/>
      <c r="U778" s="40"/>
      <c r="V778" s="40"/>
      <c r="W778" s="40"/>
      <c r="X778" s="40"/>
      <c r="Y778" s="40"/>
      <c r="Z778" s="40"/>
      <c r="AA778" s="40"/>
      <c r="AB778" s="40"/>
      <c r="AC778" s="40"/>
      <c r="AD778" s="40"/>
      <c r="AE778" s="40"/>
      <c r="AF778" s="40"/>
      <c r="AG778" s="40"/>
      <c r="AH778" s="40"/>
      <c r="AI778" s="40"/>
      <c r="AJ778" s="40"/>
      <c r="AK778" s="40"/>
      <c r="AL778" s="40"/>
      <c r="AM778" s="40"/>
      <c r="AN778" s="40"/>
      <c r="AO778" s="40"/>
      <c r="AP778" s="40"/>
    </row>
    <row r="779" spans="2:42" x14ac:dyDescent="0.2">
      <c r="B779" s="40"/>
      <c r="C779" s="40"/>
      <c r="D779" s="40"/>
      <c r="E779" s="40"/>
      <c r="F779" s="40"/>
      <c r="G779" s="40"/>
      <c r="H779" s="40"/>
      <c r="I779" s="40"/>
      <c r="J779" s="40"/>
      <c r="K779" s="40"/>
      <c r="L779" s="40"/>
      <c r="M779" s="40"/>
      <c r="N779" s="40"/>
      <c r="O779" s="40"/>
      <c r="P779" s="40"/>
      <c r="Q779" s="40"/>
      <c r="R779" s="40"/>
      <c r="S779" s="40"/>
      <c r="T779" s="40"/>
      <c r="U779" s="40"/>
      <c r="V779" s="40"/>
      <c r="W779" s="40"/>
      <c r="X779" s="40"/>
      <c r="Y779" s="40"/>
      <c r="Z779" s="40"/>
      <c r="AA779" s="40"/>
      <c r="AB779" s="40"/>
      <c r="AC779" s="40"/>
      <c r="AD779" s="40"/>
      <c r="AE779" s="40"/>
      <c r="AF779" s="40"/>
      <c r="AG779" s="40"/>
      <c r="AH779" s="40"/>
      <c r="AI779" s="40"/>
      <c r="AJ779" s="40"/>
      <c r="AK779" s="40"/>
      <c r="AL779" s="40"/>
      <c r="AM779" s="40"/>
      <c r="AN779" s="40"/>
      <c r="AO779" s="40"/>
      <c r="AP779" s="40"/>
    </row>
    <row r="780" spans="2:42" x14ac:dyDescent="0.2">
      <c r="B780" s="40"/>
      <c r="C780" s="40"/>
      <c r="D780" s="40"/>
      <c r="E780" s="40"/>
      <c r="F780" s="40"/>
      <c r="G780" s="40"/>
      <c r="H780" s="40"/>
      <c r="I780" s="40"/>
      <c r="J780" s="40"/>
      <c r="K780" s="40"/>
      <c r="L780" s="40"/>
      <c r="M780" s="40"/>
      <c r="N780" s="40"/>
      <c r="O780" s="40"/>
      <c r="P780" s="40"/>
      <c r="Q780" s="40"/>
      <c r="R780" s="40"/>
      <c r="S780" s="40"/>
      <c r="T780" s="40"/>
      <c r="U780" s="40"/>
      <c r="V780" s="40"/>
      <c r="W780" s="40"/>
      <c r="X780" s="40"/>
      <c r="Y780" s="40"/>
      <c r="Z780" s="40"/>
      <c r="AA780" s="40"/>
      <c r="AB780" s="40"/>
      <c r="AC780" s="40"/>
      <c r="AD780" s="40"/>
      <c r="AE780" s="40"/>
      <c r="AF780" s="40"/>
      <c r="AG780" s="40"/>
      <c r="AH780" s="40"/>
      <c r="AI780" s="40"/>
      <c r="AJ780" s="40"/>
      <c r="AK780" s="40"/>
      <c r="AL780" s="40"/>
      <c r="AM780" s="40"/>
      <c r="AN780" s="40"/>
      <c r="AO780" s="40"/>
      <c r="AP780" s="40"/>
    </row>
    <row r="781" spans="2:42" x14ac:dyDescent="0.2">
      <c r="B781" s="40"/>
      <c r="C781" s="40"/>
      <c r="D781" s="40"/>
      <c r="E781" s="40"/>
      <c r="F781" s="40"/>
      <c r="G781" s="40"/>
      <c r="H781" s="40"/>
      <c r="I781" s="40"/>
      <c r="J781" s="40"/>
      <c r="K781" s="40"/>
      <c r="L781" s="40"/>
      <c r="M781" s="40"/>
      <c r="N781" s="40"/>
      <c r="O781" s="40"/>
      <c r="P781" s="40"/>
      <c r="Q781" s="40"/>
      <c r="R781" s="40"/>
      <c r="S781" s="40"/>
      <c r="T781" s="40"/>
      <c r="U781" s="40"/>
      <c r="V781" s="40"/>
      <c r="W781" s="40"/>
      <c r="X781" s="40"/>
      <c r="Y781" s="40"/>
      <c r="Z781" s="40"/>
      <c r="AA781" s="40"/>
      <c r="AB781" s="40"/>
      <c r="AC781" s="40"/>
      <c r="AD781" s="40"/>
      <c r="AE781" s="40"/>
      <c r="AF781" s="40"/>
      <c r="AG781" s="40"/>
      <c r="AH781" s="40"/>
      <c r="AI781" s="40"/>
      <c r="AJ781" s="40"/>
      <c r="AK781" s="40"/>
      <c r="AL781" s="40"/>
      <c r="AM781" s="40"/>
      <c r="AN781" s="40"/>
      <c r="AO781" s="40"/>
      <c r="AP781" s="40"/>
    </row>
    <row r="782" spans="2:42" x14ac:dyDescent="0.2">
      <c r="B782" s="40"/>
      <c r="C782" s="40"/>
      <c r="D782" s="40"/>
      <c r="E782" s="40"/>
      <c r="F782" s="40"/>
      <c r="G782" s="40"/>
      <c r="H782" s="40"/>
      <c r="I782" s="40"/>
      <c r="J782" s="40"/>
      <c r="K782" s="40"/>
      <c r="L782" s="40"/>
      <c r="M782" s="40"/>
      <c r="N782" s="40"/>
      <c r="O782" s="40"/>
      <c r="P782" s="40"/>
      <c r="Q782" s="40"/>
      <c r="R782" s="40"/>
      <c r="S782" s="40"/>
      <c r="T782" s="40"/>
      <c r="U782" s="40"/>
      <c r="V782" s="40"/>
      <c r="W782" s="40"/>
      <c r="X782" s="40"/>
      <c r="Y782" s="40"/>
      <c r="Z782" s="40"/>
      <c r="AA782" s="40"/>
      <c r="AB782" s="40"/>
      <c r="AC782" s="40"/>
      <c r="AD782" s="40"/>
      <c r="AE782" s="40"/>
      <c r="AF782" s="40"/>
      <c r="AG782" s="40"/>
      <c r="AH782" s="40"/>
      <c r="AI782" s="40"/>
      <c r="AJ782" s="40"/>
      <c r="AK782" s="40"/>
      <c r="AL782" s="40"/>
      <c r="AM782" s="40"/>
      <c r="AN782" s="40"/>
      <c r="AO782" s="40"/>
      <c r="AP782" s="40"/>
    </row>
    <row r="783" spans="2:42" x14ac:dyDescent="0.2">
      <c r="B783" s="40"/>
      <c r="C783" s="40"/>
      <c r="D783" s="40"/>
      <c r="E783" s="40"/>
      <c r="F783" s="40"/>
      <c r="G783" s="40"/>
      <c r="H783" s="40"/>
      <c r="I783" s="40"/>
      <c r="J783" s="40"/>
      <c r="K783" s="40"/>
      <c r="L783" s="40"/>
      <c r="M783" s="40"/>
      <c r="N783" s="40"/>
      <c r="O783" s="40"/>
      <c r="P783" s="40"/>
      <c r="Q783" s="40"/>
      <c r="R783" s="40"/>
      <c r="S783" s="40"/>
      <c r="T783" s="40"/>
      <c r="U783" s="40"/>
      <c r="V783" s="40"/>
      <c r="W783" s="40"/>
      <c r="X783" s="40"/>
      <c r="Y783" s="40"/>
      <c r="Z783" s="40"/>
      <c r="AA783" s="40"/>
      <c r="AB783" s="40"/>
      <c r="AC783" s="40"/>
      <c r="AD783" s="40"/>
      <c r="AE783" s="40"/>
      <c r="AF783" s="40"/>
      <c r="AG783" s="40"/>
      <c r="AH783" s="40"/>
      <c r="AI783" s="40"/>
      <c r="AJ783" s="40"/>
      <c r="AK783" s="40"/>
      <c r="AL783" s="40"/>
      <c r="AM783" s="40"/>
      <c r="AN783" s="40"/>
      <c r="AO783" s="40"/>
      <c r="AP783" s="40"/>
    </row>
    <row r="784" spans="2:42" x14ac:dyDescent="0.2">
      <c r="B784" s="40"/>
      <c r="C784" s="40"/>
      <c r="D784" s="40"/>
      <c r="E784" s="40"/>
      <c r="F784" s="40"/>
      <c r="G784" s="40"/>
      <c r="H784" s="40"/>
      <c r="I784" s="40"/>
      <c r="J784" s="40"/>
      <c r="K784" s="40"/>
      <c r="L784" s="40"/>
      <c r="M784" s="40"/>
      <c r="N784" s="40"/>
      <c r="O784" s="40"/>
      <c r="P784" s="40"/>
      <c r="Q784" s="40"/>
      <c r="R784" s="40"/>
      <c r="S784" s="40"/>
      <c r="T784" s="40"/>
      <c r="U784" s="40"/>
      <c r="V784" s="40"/>
      <c r="W784" s="40"/>
      <c r="X784" s="40"/>
      <c r="Y784" s="40"/>
      <c r="Z784" s="40"/>
      <c r="AA784" s="40"/>
      <c r="AB784" s="40"/>
      <c r="AC784" s="40"/>
      <c r="AD784" s="40"/>
      <c r="AE784" s="40"/>
      <c r="AF784" s="40"/>
      <c r="AG784" s="40"/>
      <c r="AH784" s="40"/>
      <c r="AI784" s="40"/>
      <c r="AJ784" s="40"/>
      <c r="AK784" s="40"/>
      <c r="AL784" s="40"/>
      <c r="AM784" s="40"/>
      <c r="AN784" s="40"/>
      <c r="AO784" s="40"/>
      <c r="AP784" s="40"/>
    </row>
    <row r="785" spans="2:42" x14ac:dyDescent="0.2">
      <c r="B785" s="40"/>
      <c r="C785" s="40"/>
      <c r="D785" s="40"/>
      <c r="E785" s="40"/>
      <c r="F785" s="40"/>
      <c r="G785" s="40"/>
      <c r="H785" s="40"/>
      <c r="I785" s="40"/>
      <c r="J785" s="40"/>
      <c r="K785" s="40"/>
      <c r="L785" s="40"/>
      <c r="M785" s="40"/>
      <c r="N785" s="40"/>
      <c r="O785" s="40"/>
      <c r="P785" s="40"/>
      <c r="Q785" s="40"/>
      <c r="R785" s="40"/>
      <c r="S785" s="40"/>
      <c r="T785" s="40"/>
      <c r="U785" s="40"/>
      <c r="V785" s="40"/>
      <c r="W785" s="40"/>
      <c r="X785" s="40"/>
      <c r="Y785" s="40"/>
      <c r="Z785" s="40"/>
      <c r="AA785" s="40"/>
      <c r="AB785" s="40"/>
      <c r="AC785" s="40"/>
      <c r="AD785" s="40"/>
      <c r="AE785" s="40"/>
      <c r="AF785" s="40"/>
      <c r="AG785" s="40"/>
      <c r="AH785" s="40"/>
      <c r="AI785" s="40"/>
      <c r="AJ785" s="40"/>
      <c r="AK785" s="40"/>
      <c r="AL785" s="40"/>
      <c r="AM785" s="40"/>
      <c r="AN785" s="40"/>
      <c r="AO785" s="40"/>
      <c r="AP785" s="40"/>
    </row>
    <row r="786" spans="2:42" x14ac:dyDescent="0.2">
      <c r="B786" s="40"/>
      <c r="C786" s="40"/>
      <c r="D786" s="40"/>
      <c r="E786" s="40"/>
      <c r="F786" s="40"/>
      <c r="G786" s="40"/>
      <c r="H786" s="40"/>
      <c r="I786" s="40"/>
      <c r="J786" s="40"/>
      <c r="K786" s="40"/>
      <c r="L786" s="40"/>
      <c r="M786" s="40"/>
      <c r="N786" s="40"/>
      <c r="O786" s="40"/>
      <c r="P786" s="40"/>
      <c r="Q786" s="40"/>
      <c r="R786" s="40"/>
      <c r="S786" s="40"/>
      <c r="T786" s="40"/>
      <c r="U786" s="40"/>
      <c r="V786" s="40"/>
      <c r="W786" s="40"/>
      <c r="X786" s="40"/>
      <c r="Y786" s="40"/>
      <c r="Z786" s="40"/>
      <c r="AA786" s="40"/>
      <c r="AB786" s="40"/>
      <c r="AC786" s="40"/>
      <c r="AD786" s="40"/>
      <c r="AE786" s="40"/>
      <c r="AF786" s="40"/>
      <c r="AG786" s="40"/>
      <c r="AH786" s="40"/>
      <c r="AI786" s="40"/>
      <c r="AJ786" s="40"/>
      <c r="AK786" s="40"/>
      <c r="AL786" s="40"/>
      <c r="AM786" s="40"/>
      <c r="AN786" s="40"/>
      <c r="AO786" s="40"/>
      <c r="AP786" s="40"/>
    </row>
    <row r="787" spans="2:42" x14ac:dyDescent="0.2">
      <c r="B787" s="40"/>
      <c r="C787" s="40"/>
      <c r="D787" s="40"/>
      <c r="E787" s="40"/>
      <c r="F787" s="40"/>
      <c r="G787" s="40"/>
      <c r="H787" s="40"/>
      <c r="I787" s="40"/>
      <c r="J787" s="40"/>
      <c r="K787" s="40"/>
      <c r="L787" s="40"/>
      <c r="M787" s="40"/>
      <c r="N787" s="40"/>
      <c r="O787" s="40"/>
      <c r="P787" s="40"/>
      <c r="Q787" s="40"/>
      <c r="R787" s="40"/>
      <c r="S787" s="40"/>
      <c r="T787" s="40"/>
      <c r="U787" s="40"/>
      <c r="V787" s="40"/>
      <c r="W787" s="40"/>
      <c r="X787" s="40"/>
      <c r="Y787" s="40"/>
      <c r="Z787" s="40"/>
      <c r="AA787" s="40"/>
      <c r="AB787" s="40"/>
      <c r="AC787" s="40"/>
      <c r="AD787" s="40"/>
      <c r="AE787" s="40"/>
      <c r="AF787" s="40"/>
      <c r="AG787" s="40"/>
      <c r="AH787" s="40"/>
      <c r="AI787" s="40"/>
      <c r="AJ787" s="40"/>
      <c r="AK787" s="40"/>
      <c r="AL787" s="40"/>
      <c r="AM787" s="40"/>
      <c r="AN787" s="40"/>
      <c r="AO787" s="40"/>
      <c r="AP787" s="40"/>
    </row>
    <row r="788" spans="2:42" x14ac:dyDescent="0.2">
      <c r="B788" s="40"/>
      <c r="C788" s="40"/>
      <c r="D788" s="40"/>
      <c r="E788" s="40"/>
      <c r="F788" s="40"/>
      <c r="G788" s="40"/>
      <c r="H788" s="40"/>
      <c r="I788" s="40"/>
      <c r="J788" s="40"/>
      <c r="K788" s="40"/>
      <c r="L788" s="40"/>
      <c r="M788" s="40"/>
      <c r="N788" s="40"/>
      <c r="O788" s="40"/>
      <c r="P788" s="40"/>
      <c r="Q788" s="40"/>
      <c r="R788" s="40"/>
      <c r="S788" s="40"/>
      <c r="T788" s="40"/>
      <c r="U788" s="40"/>
      <c r="V788" s="40"/>
      <c r="W788" s="40"/>
      <c r="X788" s="40"/>
      <c r="Y788" s="40"/>
      <c r="Z788" s="40"/>
      <c r="AA788" s="40"/>
      <c r="AB788" s="40"/>
      <c r="AC788" s="40"/>
      <c r="AD788" s="40"/>
      <c r="AE788" s="40"/>
      <c r="AF788" s="40"/>
      <c r="AG788" s="40"/>
      <c r="AH788" s="40"/>
      <c r="AI788" s="40"/>
      <c r="AJ788" s="40"/>
      <c r="AK788" s="40"/>
      <c r="AL788" s="40"/>
      <c r="AM788" s="40"/>
      <c r="AN788" s="40"/>
      <c r="AO788" s="40"/>
      <c r="AP788" s="40"/>
    </row>
    <row r="789" spans="2:42" x14ac:dyDescent="0.2">
      <c r="B789" s="40"/>
      <c r="C789" s="40"/>
      <c r="D789" s="40"/>
      <c r="E789" s="40"/>
      <c r="F789" s="40"/>
      <c r="G789" s="40"/>
      <c r="H789" s="40"/>
      <c r="I789" s="40"/>
      <c r="J789" s="40"/>
      <c r="K789" s="40"/>
      <c r="L789" s="40"/>
      <c r="M789" s="40"/>
      <c r="N789" s="40"/>
      <c r="O789" s="40"/>
      <c r="P789" s="40"/>
      <c r="Q789" s="40"/>
      <c r="R789" s="40"/>
      <c r="S789" s="40"/>
      <c r="T789" s="40"/>
      <c r="U789" s="40"/>
      <c r="V789" s="40"/>
      <c r="W789" s="40"/>
      <c r="X789" s="40"/>
      <c r="Y789" s="40"/>
      <c r="Z789" s="40"/>
      <c r="AA789" s="40"/>
      <c r="AB789" s="40"/>
      <c r="AC789" s="40"/>
      <c r="AD789" s="40"/>
      <c r="AE789" s="40"/>
      <c r="AF789" s="40"/>
      <c r="AG789" s="40"/>
      <c r="AH789" s="40"/>
      <c r="AI789" s="40"/>
      <c r="AJ789" s="40"/>
      <c r="AK789" s="40"/>
      <c r="AL789" s="40"/>
      <c r="AM789" s="40"/>
      <c r="AN789" s="40"/>
      <c r="AO789" s="40"/>
      <c r="AP789" s="40"/>
    </row>
    <row r="790" spans="2:42" x14ac:dyDescent="0.2">
      <c r="B790" s="40"/>
      <c r="C790" s="40"/>
      <c r="D790" s="40"/>
      <c r="E790" s="40"/>
      <c r="F790" s="40"/>
      <c r="G790" s="40"/>
      <c r="H790" s="40"/>
      <c r="I790" s="40"/>
      <c r="J790" s="40"/>
      <c r="K790" s="40"/>
      <c r="L790" s="40"/>
      <c r="M790" s="40"/>
      <c r="N790" s="40"/>
      <c r="O790" s="40"/>
      <c r="P790" s="40"/>
      <c r="Q790" s="40"/>
      <c r="R790" s="40"/>
      <c r="S790" s="40"/>
      <c r="T790" s="40"/>
      <c r="U790" s="40"/>
      <c r="V790" s="40"/>
      <c r="W790" s="40"/>
      <c r="X790" s="40"/>
      <c r="Y790" s="40"/>
      <c r="Z790" s="40"/>
      <c r="AA790" s="40"/>
      <c r="AB790" s="40"/>
      <c r="AC790" s="40"/>
      <c r="AD790" s="40"/>
      <c r="AE790" s="40"/>
      <c r="AF790" s="40"/>
      <c r="AG790" s="40"/>
      <c r="AH790" s="40"/>
      <c r="AI790" s="40"/>
      <c r="AJ790" s="40"/>
      <c r="AK790" s="40"/>
      <c r="AL790" s="40"/>
      <c r="AM790" s="40"/>
      <c r="AN790" s="40"/>
      <c r="AO790" s="40"/>
      <c r="AP790" s="40"/>
    </row>
    <row r="791" spans="2:42" x14ac:dyDescent="0.2">
      <c r="B791" s="40"/>
      <c r="C791" s="40"/>
      <c r="D791" s="40"/>
      <c r="E791" s="40"/>
      <c r="F791" s="40"/>
      <c r="G791" s="40"/>
      <c r="H791" s="40"/>
      <c r="I791" s="40"/>
      <c r="J791" s="40"/>
      <c r="K791" s="40"/>
      <c r="L791" s="40"/>
      <c r="M791" s="40"/>
      <c r="N791" s="40"/>
      <c r="O791" s="40"/>
      <c r="P791" s="40"/>
      <c r="Q791" s="40"/>
      <c r="R791" s="40"/>
      <c r="S791" s="40"/>
      <c r="T791" s="40"/>
      <c r="U791" s="40"/>
      <c r="V791" s="40"/>
      <c r="W791" s="40"/>
      <c r="X791" s="40"/>
      <c r="Y791" s="40"/>
      <c r="Z791" s="40"/>
      <c r="AA791" s="40"/>
      <c r="AB791" s="40"/>
      <c r="AC791" s="40"/>
      <c r="AD791" s="40"/>
      <c r="AE791" s="40"/>
      <c r="AF791" s="40"/>
      <c r="AG791" s="40"/>
      <c r="AH791" s="40"/>
      <c r="AI791" s="40"/>
      <c r="AJ791" s="40"/>
      <c r="AK791" s="40"/>
      <c r="AL791" s="40"/>
      <c r="AM791" s="40"/>
      <c r="AN791" s="40"/>
      <c r="AO791" s="40"/>
      <c r="AP791" s="40"/>
    </row>
    <row r="792" spans="2:42" x14ac:dyDescent="0.2">
      <c r="B792" s="40"/>
      <c r="C792" s="40"/>
      <c r="D792" s="40"/>
      <c r="E792" s="40"/>
      <c r="F792" s="40"/>
      <c r="G792" s="40"/>
      <c r="H792" s="40"/>
      <c r="I792" s="40"/>
      <c r="J792" s="40"/>
      <c r="K792" s="40"/>
      <c r="L792" s="40"/>
      <c r="M792" s="40"/>
      <c r="N792" s="40"/>
      <c r="O792" s="40"/>
      <c r="P792" s="40"/>
      <c r="Q792" s="40"/>
      <c r="R792" s="40"/>
      <c r="S792" s="40"/>
      <c r="T792" s="40"/>
      <c r="U792" s="40"/>
      <c r="V792" s="40"/>
      <c r="W792" s="40"/>
      <c r="X792" s="40"/>
      <c r="Y792" s="40"/>
      <c r="Z792" s="40"/>
      <c r="AA792" s="40"/>
      <c r="AB792" s="40"/>
      <c r="AC792" s="40"/>
      <c r="AD792" s="40"/>
      <c r="AE792" s="40"/>
      <c r="AF792" s="40"/>
      <c r="AG792" s="40"/>
      <c r="AH792" s="40"/>
      <c r="AI792" s="40"/>
      <c r="AJ792" s="40"/>
      <c r="AK792" s="40"/>
      <c r="AL792" s="40"/>
      <c r="AM792" s="40"/>
      <c r="AN792" s="40"/>
      <c r="AO792" s="40"/>
      <c r="AP792" s="40"/>
    </row>
    <row r="793" spans="2:42" x14ac:dyDescent="0.2">
      <c r="B793" s="40"/>
      <c r="C793" s="40"/>
      <c r="D793" s="40"/>
      <c r="E793" s="40"/>
      <c r="F793" s="40"/>
      <c r="G793" s="40"/>
      <c r="H793" s="40"/>
      <c r="I793" s="40"/>
      <c r="J793" s="40"/>
      <c r="K793" s="40"/>
      <c r="L793" s="40"/>
      <c r="M793" s="40"/>
      <c r="N793" s="40"/>
      <c r="O793" s="40"/>
      <c r="P793" s="40"/>
      <c r="Q793" s="40"/>
      <c r="R793" s="40"/>
      <c r="S793" s="40"/>
      <c r="T793" s="40"/>
      <c r="U793" s="40"/>
      <c r="V793" s="40"/>
      <c r="W793" s="40"/>
      <c r="X793" s="40"/>
      <c r="Y793" s="40"/>
      <c r="Z793" s="40"/>
      <c r="AA793" s="40"/>
      <c r="AB793" s="40"/>
      <c r="AC793" s="40"/>
      <c r="AD793" s="40"/>
      <c r="AE793" s="40"/>
      <c r="AF793" s="40"/>
      <c r="AG793" s="40"/>
      <c r="AH793" s="40"/>
      <c r="AI793" s="40"/>
      <c r="AJ793" s="40"/>
      <c r="AK793" s="40"/>
      <c r="AL793" s="40"/>
      <c r="AM793" s="40"/>
      <c r="AN793" s="40"/>
      <c r="AO793" s="40"/>
      <c r="AP793" s="40"/>
    </row>
    <row r="794" spans="2:42" x14ac:dyDescent="0.2">
      <c r="B794" s="40"/>
      <c r="C794" s="40"/>
      <c r="D794" s="40"/>
      <c r="E794" s="40"/>
      <c r="F794" s="40"/>
      <c r="G794" s="40"/>
      <c r="H794" s="40"/>
      <c r="I794" s="40"/>
      <c r="J794" s="40"/>
      <c r="K794" s="40"/>
      <c r="L794" s="40"/>
      <c r="M794" s="40"/>
      <c r="N794" s="40"/>
      <c r="O794" s="40"/>
      <c r="P794" s="40"/>
      <c r="Q794" s="40"/>
      <c r="R794" s="40"/>
      <c r="S794" s="40"/>
      <c r="T794" s="40"/>
      <c r="U794" s="40"/>
      <c r="V794" s="40"/>
      <c r="W794" s="40"/>
      <c r="X794" s="40"/>
      <c r="Y794" s="40"/>
      <c r="Z794" s="40"/>
      <c r="AA794" s="40"/>
      <c r="AB794" s="40"/>
      <c r="AC794" s="40"/>
      <c r="AD794" s="40"/>
      <c r="AE794" s="40"/>
      <c r="AF794" s="40"/>
      <c r="AG794" s="40"/>
      <c r="AH794" s="40"/>
      <c r="AI794" s="40"/>
      <c r="AJ794" s="40"/>
      <c r="AK794" s="40"/>
      <c r="AL794" s="40"/>
      <c r="AM794" s="40"/>
      <c r="AN794" s="40"/>
      <c r="AO794" s="40"/>
      <c r="AP794" s="40"/>
    </row>
    <row r="795" spans="2:42" x14ac:dyDescent="0.2">
      <c r="B795" s="40"/>
      <c r="C795" s="40"/>
      <c r="D795" s="40"/>
      <c r="E795" s="40"/>
      <c r="F795" s="40"/>
      <c r="G795" s="40"/>
      <c r="H795" s="40"/>
      <c r="I795" s="40"/>
      <c r="J795" s="40"/>
      <c r="K795" s="40"/>
      <c r="L795" s="40"/>
      <c r="M795" s="40"/>
      <c r="N795" s="40"/>
      <c r="O795" s="40"/>
      <c r="P795" s="40"/>
      <c r="Q795" s="40"/>
      <c r="R795" s="40"/>
      <c r="S795" s="40"/>
      <c r="T795" s="40"/>
      <c r="U795" s="40"/>
      <c r="V795" s="40"/>
      <c r="W795" s="40"/>
      <c r="X795" s="40"/>
      <c r="Y795" s="40"/>
      <c r="Z795" s="40"/>
      <c r="AA795" s="40"/>
      <c r="AB795" s="40"/>
      <c r="AC795" s="40"/>
      <c r="AD795" s="40"/>
      <c r="AE795" s="40"/>
      <c r="AF795" s="40"/>
      <c r="AG795" s="40"/>
      <c r="AH795" s="40"/>
      <c r="AI795" s="40"/>
      <c r="AJ795" s="40"/>
      <c r="AK795" s="40"/>
      <c r="AL795" s="40"/>
      <c r="AM795" s="40"/>
      <c r="AN795" s="40"/>
      <c r="AO795" s="40"/>
      <c r="AP795" s="40"/>
    </row>
    <row r="796" spans="2:42" x14ac:dyDescent="0.2">
      <c r="B796" s="40"/>
      <c r="C796" s="40"/>
      <c r="D796" s="40"/>
      <c r="E796" s="40"/>
      <c r="F796" s="40"/>
      <c r="G796" s="40"/>
      <c r="H796" s="40"/>
      <c r="I796" s="40"/>
      <c r="J796" s="40"/>
      <c r="K796" s="40"/>
      <c r="L796" s="40"/>
      <c r="M796" s="40"/>
      <c r="N796" s="40"/>
      <c r="O796" s="40"/>
      <c r="P796" s="40"/>
      <c r="Q796" s="40"/>
      <c r="R796" s="40"/>
      <c r="S796" s="40"/>
      <c r="T796" s="40"/>
      <c r="U796" s="40"/>
      <c r="V796" s="40"/>
      <c r="W796" s="40"/>
      <c r="X796" s="40"/>
      <c r="Y796" s="40"/>
      <c r="Z796" s="40"/>
      <c r="AA796" s="40"/>
      <c r="AB796" s="40"/>
      <c r="AC796" s="40"/>
      <c r="AD796" s="40"/>
      <c r="AE796" s="40"/>
      <c r="AF796" s="40"/>
      <c r="AG796" s="40"/>
      <c r="AH796" s="40"/>
      <c r="AI796" s="40"/>
      <c r="AJ796" s="40"/>
      <c r="AK796" s="40"/>
      <c r="AL796" s="40"/>
      <c r="AM796" s="40"/>
      <c r="AN796" s="40"/>
      <c r="AO796" s="40"/>
      <c r="AP796" s="40"/>
    </row>
    <row r="797" spans="2:42" x14ac:dyDescent="0.2">
      <c r="B797" s="40"/>
      <c r="C797" s="40"/>
      <c r="D797" s="40"/>
      <c r="E797" s="40"/>
      <c r="F797" s="40"/>
      <c r="G797" s="40"/>
      <c r="H797" s="40"/>
      <c r="I797" s="40"/>
      <c r="J797" s="40"/>
      <c r="K797" s="40"/>
      <c r="L797" s="40"/>
      <c r="M797" s="40"/>
      <c r="N797" s="40"/>
      <c r="O797" s="40"/>
      <c r="P797" s="40"/>
      <c r="Q797" s="40"/>
      <c r="R797" s="40"/>
      <c r="S797" s="40"/>
      <c r="T797" s="40"/>
      <c r="U797" s="40"/>
      <c r="V797" s="40"/>
      <c r="W797" s="40"/>
      <c r="X797" s="40"/>
      <c r="Y797" s="40"/>
      <c r="Z797" s="40"/>
      <c r="AA797" s="40"/>
      <c r="AB797" s="40"/>
      <c r="AC797" s="40"/>
      <c r="AD797" s="40"/>
      <c r="AE797" s="40"/>
      <c r="AF797" s="40"/>
      <c r="AG797" s="40"/>
      <c r="AH797" s="40"/>
      <c r="AI797" s="40"/>
      <c r="AJ797" s="40"/>
      <c r="AK797" s="40"/>
      <c r="AL797" s="40"/>
      <c r="AM797" s="40"/>
      <c r="AN797" s="40"/>
      <c r="AO797" s="40"/>
      <c r="AP797" s="40"/>
    </row>
    <row r="798" spans="2:42" x14ac:dyDescent="0.2">
      <c r="B798" s="40"/>
      <c r="C798" s="40"/>
      <c r="D798" s="40"/>
      <c r="E798" s="40"/>
      <c r="F798" s="40"/>
      <c r="G798" s="40"/>
      <c r="H798" s="40"/>
      <c r="I798" s="40"/>
      <c r="J798" s="40"/>
      <c r="K798" s="40"/>
      <c r="L798" s="40"/>
      <c r="M798" s="40"/>
      <c r="N798" s="40"/>
      <c r="O798" s="40"/>
      <c r="P798" s="40"/>
      <c r="Q798" s="40"/>
      <c r="R798" s="40"/>
      <c r="S798" s="40"/>
      <c r="T798" s="40"/>
      <c r="U798" s="40"/>
      <c r="V798" s="40"/>
      <c r="W798" s="40"/>
      <c r="X798" s="40"/>
      <c r="Y798" s="40"/>
      <c r="Z798" s="40"/>
      <c r="AA798" s="40"/>
      <c r="AB798" s="40"/>
      <c r="AC798" s="40"/>
      <c r="AD798" s="40"/>
      <c r="AE798" s="40"/>
      <c r="AF798" s="40"/>
      <c r="AG798" s="40"/>
      <c r="AH798" s="40"/>
      <c r="AI798" s="40"/>
      <c r="AJ798" s="40"/>
      <c r="AK798" s="40"/>
      <c r="AL798" s="40"/>
      <c r="AM798" s="40"/>
      <c r="AN798" s="40"/>
      <c r="AO798" s="40"/>
      <c r="AP798" s="40"/>
    </row>
    <row r="799" spans="2:42" x14ac:dyDescent="0.2">
      <c r="B799" s="40"/>
      <c r="C799" s="40"/>
      <c r="D799" s="40"/>
      <c r="E799" s="40"/>
      <c r="F799" s="40"/>
      <c r="G799" s="40"/>
      <c r="H799" s="40"/>
      <c r="I799" s="40"/>
      <c r="J799" s="40"/>
      <c r="K799" s="40"/>
      <c r="L799" s="40"/>
      <c r="M799" s="40"/>
      <c r="N799" s="40"/>
      <c r="O799" s="40"/>
      <c r="P799" s="40"/>
      <c r="Q799" s="40"/>
      <c r="R799" s="40"/>
      <c r="S799" s="40"/>
      <c r="T799" s="40"/>
      <c r="U799" s="40"/>
      <c r="V799" s="40"/>
      <c r="W799" s="40"/>
      <c r="X799" s="40"/>
      <c r="Y799" s="40"/>
      <c r="Z799" s="40"/>
      <c r="AA799" s="40"/>
      <c r="AB799" s="40"/>
      <c r="AC799" s="40"/>
      <c r="AD799" s="40"/>
      <c r="AE799" s="40"/>
      <c r="AF799" s="40"/>
      <c r="AG799" s="40"/>
      <c r="AH799" s="40"/>
      <c r="AI799" s="40"/>
      <c r="AJ799" s="40"/>
      <c r="AK799" s="40"/>
      <c r="AL799" s="40"/>
      <c r="AM799" s="40"/>
      <c r="AN799" s="40"/>
      <c r="AO799" s="40"/>
      <c r="AP799" s="40"/>
    </row>
    <row r="800" spans="2:42" x14ac:dyDescent="0.2">
      <c r="B800" s="40"/>
      <c r="C800" s="40"/>
      <c r="D800" s="40"/>
      <c r="E800" s="40"/>
      <c r="F800" s="40"/>
      <c r="G800" s="40"/>
      <c r="H800" s="40"/>
      <c r="I800" s="40"/>
      <c r="J800" s="40"/>
      <c r="K800" s="40"/>
      <c r="L800" s="40"/>
      <c r="M800" s="40"/>
      <c r="N800" s="40"/>
      <c r="O800" s="40"/>
      <c r="P800" s="40"/>
      <c r="Q800" s="40"/>
      <c r="R800" s="40"/>
      <c r="S800" s="40"/>
      <c r="T800" s="40"/>
      <c r="U800" s="40"/>
      <c r="V800" s="40"/>
      <c r="W800" s="40"/>
      <c r="X800" s="40"/>
      <c r="Y800" s="40"/>
      <c r="Z800" s="40"/>
      <c r="AA800" s="40"/>
      <c r="AB800" s="40"/>
      <c r="AC800" s="40"/>
      <c r="AD800" s="40"/>
      <c r="AE800" s="40"/>
      <c r="AF800" s="40"/>
      <c r="AG800" s="40"/>
      <c r="AH800" s="40"/>
      <c r="AI800" s="40"/>
      <c r="AJ800" s="40"/>
      <c r="AK800" s="40"/>
      <c r="AL800" s="40"/>
      <c r="AM800" s="40"/>
      <c r="AN800" s="40"/>
      <c r="AO800" s="40"/>
      <c r="AP800" s="40"/>
    </row>
    <row r="801" spans="2:42" x14ac:dyDescent="0.2">
      <c r="B801" s="40"/>
      <c r="C801" s="40"/>
      <c r="D801" s="40"/>
      <c r="E801" s="40"/>
      <c r="F801" s="40"/>
      <c r="G801" s="40"/>
      <c r="H801" s="40"/>
      <c r="I801" s="40"/>
      <c r="J801" s="40"/>
      <c r="K801" s="40"/>
      <c r="L801" s="40"/>
      <c r="M801" s="40"/>
      <c r="N801" s="40"/>
      <c r="O801" s="40"/>
      <c r="P801" s="40"/>
      <c r="Q801" s="40"/>
      <c r="R801" s="40"/>
      <c r="S801" s="40"/>
      <c r="T801" s="40"/>
      <c r="U801" s="40"/>
      <c r="V801" s="40"/>
      <c r="W801" s="40"/>
      <c r="X801" s="40"/>
      <c r="Y801" s="40"/>
      <c r="Z801" s="40"/>
      <c r="AA801" s="40"/>
      <c r="AB801" s="40"/>
      <c r="AC801" s="40"/>
      <c r="AD801" s="40"/>
      <c r="AE801" s="40"/>
      <c r="AF801" s="40"/>
      <c r="AG801" s="40"/>
      <c r="AH801" s="40"/>
      <c r="AI801" s="40"/>
      <c r="AJ801" s="40"/>
      <c r="AK801" s="40"/>
      <c r="AL801" s="40"/>
      <c r="AM801" s="40"/>
      <c r="AN801" s="40"/>
      <c r="AO801" s="40"/>
      <c r="AP801" s="40"/>
    </row>
    <row r="802" spans="2:42" x14ac:dyDescent="0.2">
      <c r="B802" s="40"/>
      <c r="C802" s="40"/>
      <c r="D802" s="40"/>
      <c r="E802" s="40"/>
      <c r="F802" s="40"/>
      <c r="G802" s="40"/>
      <c r="H802" s="40"/>
      <c r="I802" s="40"/>
      <c r="J802" s="40"/>
      <c r="K802" s="40"/>
      <c r="L802" s="40"/>
      <c r="M802" s="40"/>
      <c r="N802" s="40"/>
      <c r="O802" s="40"/>
      <c r="P802" s="40"/>
      <c r="Q802" s="40"/>
      <c r="R802" s="40"/>
      <c r="S802" s="40"/>
      <c r="T802" s="40"/>
      <c r="U802" s="40"/>
      <c r="V802" s="40"/>
      <c r="W802" s="40"/>
      <c r="X802" s="40"/>
      <c r="Y802" s="40"/>
      <c r="Z802" s="40"/>
      <c r="AA802" s="40"/>
      <c r="AB802" s="40"/>
      <c r="AC802" s="40"/>
      <c r="AD802" s="40"/>
      <c r="AE802" s="40"/>
      <c r="AF802" s="40"/>
      <c r="AG802" s="40"/>
      <c r="AH802" s="40"/>
      <c r="AI802" s="40"/>
      <c r="AJ802" s="40"/>
      <c r="AK802" s="40"/>
      <c r="AL802" s="40"/>
      <c r="AM802" s="40"/>
      <c r="AN802" s="40"/>
      <c r="AO802" s="40"/>
      <c r="AP802" s="40"/>
    </row>
    <row r="803" spans="2:42" x14ac:dyDescent="0.2">
      <c r="B803" s="40"/>
      <c r="C803" s="40"/>
      <c r="D803" s="40"/>
      <c r="E803" s="40"/>
      <c r="F803" s="40"/>
      <c r="G803" s="40"/>
      <c r="H803" s="40"/>
      <c r="I803" s="40"/>
      <c r="J803" s="40"/>
      <c r="K803" s="40"/>
      <c r="L803" s="40"/>
      <c r="M803" s="40"/>
      <c r="N803" s="40"/>
      <c r="O803" s="40"/>
      <c r="P803" s="40"/>
      <c r="Q803" s="40"/>
      <c r="R803" s="40"/>
      <c r="S803" s="40"/>
      <c r="T803" s="40"/>
      <c r="U803" s="40"/>
      <c r="V803" s="40"/>
      <c r="W803" s="40"/>
      <c r="X803" s="40"/>
      <c r="Y803" s="40"/>
      <c r="Z803" s="40"/>
      <c r="AA803" s="40"/>
      <c r="AB803" s="40"/>
      <c r="AC803" s="40"/>
      <c r="AD803" s="40"/>
      <c r="AE803" s="40"/>
      <c r="AF803" s="40"/>
      <c r="AG803" s="40"/>
      <c r="AH803" s="40"/>
      <c r="AI803" s="40"/>
      <c r="AJ803" s="40"/>
      <c r="AK803" s="40"/>
      <c r="AL803" s="40"/>
      <c r="AM803" s="40"/>
      <c r="AN803" s="40"/>
      <c r="AO803" s="40"/>
      <c r="AP803" s="40"/>
    </row>
    <row r="804" spans="2:42" x14ac:dyDescent="0.2">
      <c r="B804" s="40"/>
      <c r="C804" s="40"/>
      <c r="D804" s="40"/>
      <c r="E804" s="40"/>
      <c r="F804" s="40"/>
      <c r="G804" s="40"/>
      <c r="H804" s="40"/>
      <c r="I804" s="40"/>
      <c r="J804" s="40"/>
      <c r="K804" s="40"/>
      <c r="L804" s="40"/>
      <c r="M804" s="40"/>
      <c r="N804" s="40"/>
      <c r="O804" s="40"/>
      <c r="P804" s="40"/>
      <c r="Q804" s="40"/>
      <c r="R804" s="40"/>
      <c r="S804" s="40"/>
      <c r="T804" s="40"/>
      <c r="U804" s="40"/>
      <c r="V804" s="40"/>
      <c r="W804" s="40"/>
      <c r="X804" s="40"/>
      <c r="Y804" s="40"/>
      <c r="Z804" s="40"/>
      <c r="AA804" s="40"/>
      <c r="AB804" s="40"/>
      <c r="AC804" s="40"/>
      <c r="AD804" s="40"/>
      <c r="AE804" s="40"/>
      <c r="AF804" s="40"/>
      <c r="AG804" s="40"/>
      <c r="AH804" s="40"/>
      <c r="AI804" s="40"/>
      <c r="AJ804" s="40"/>
      <c r="AK804" s="40"/>
      <c r="AL804" s="40"/>
      <c r="AM804" s="40"/>
      <c r="AN804" s="40"/>
      <c r="AO804" s="40"/>
      <c r="AP804" s="40"/>
    </row>
    <row r="805" spans="2:42" x14ac:dyDescent="0.2">
      <c r="B805" s="40"/>
      <c r="C805" s="40"/>
      <c r="D805" s="40"/>
      <c r="E805" s="40"/>
      <c r="F805" s="40"/>
      <c r="G805" s="40"/>
      <c r="H805" s="40"/>
      <c r="I805" s="40"/>
      <c r="J805" s="40"/>
      <c r="K805" s="40"/>
      <c r="L805" s="40"/>
      <c r="M805" s="40"/>
      <c r="N805" s="40"/>
      <c r="O805" s="40"/>
      <c r="P805" s="40"/>
      <c r="Q805" s="40"/>
      <c r="R805" s="40"/>
      <c r="S805" s="40"/>
      <c r="T805" s="40"/>
      <c r="U805" s="40"/>
      <c r="V805" s="40"/>
      <c r="W805" s="40"/>
      <c r="X805" s="40"/>
      <c r="Y805" s="40"/>
      <c r="Z805" s="40"/>
      <c r="AA805" s="40"/>
      <c r="AB805" s="40"/>
      <c r="AC805" s="40"/>
      <c r="AD805" s="40"/>
      <c r="AE805" s="40"/>
      <c r="AF805" s="40"/>
      <c r="AG805" s="40"/>
      <c r="AH805" s="40"/>
      <c r="AI805" s="40"/>
      <c r="AJ805" s="40"/>
      <c r="AK805" s="40"/>
      <c r="AL805" s="40"/>
      <c r="AM805" s="40"/>
      <c r="AN805" s="40"/>
      <c r="AO805" s="40"/>
      <c r="AP805" s="40"/>
    </row>
    <row r="806" spans="2:42" x14ac:dyDescent="0.2">
      <c r="B806" s="40"/>
      <c r="C806" s="40"/>
      <c r="D806" s="40"/>
      <c r="E806" s="40"/>
      <c r="F806" s="40"/>
      <c r="G806" s="40"/>
      <c r="H806" s="40"/>
      <c r="I806" s="40"/>
      <c r="J806" s="40"/>
      <c r="K806" s="40"/>
      <c r="L806" s="40"/>
      <c r="M806" s="40"/>
      <c r="N806" s="40"/>
      <c r="O806" s="40"/>
      <c r="P806" s="40"/>
      <c r="Q806" s="40"/>
      <c r="R806" s="40"/>
      <c r="S806" s="40"/>
      <c r="T806" s="40"/>
      <c r="U806" s="40"/>
      <c r="V806" s="40"/>
      <c r="W806" s="40"/>
      <c r="X806" s="40"/>
      <c r="Y806" s="40"/>
      <c r="Z806" s="40"/>
      <c r="AA806" s="40"/>
      <c r="AB806" s="40"/>
      <c r="AC806" s="40"/>
      <c r="AD806" s="40"/>
      <c r="AE806" s="40"/>
      <c r="AF806" s="40"/>
      <c r="AG806" s="40"/>
      <c r="AH806" s="40"/>
      <c r="AI806" s="40"/>
      <c r="AJ806" s="40"/>
      <c r="AK806" s="40"/>
      <c r="AL806" s="40"/>
      <c r="AM806" s="40"/>
      <c r="AN806" s="40"/>
      <c r="AO806" s="40"/>
      <c r="AP806" s="40"/>
    </row>
    <row r="807" spans="2:42" x14ac:dyDescent="0.2">
      <c r="B807" s="40"/>
      <c r="C807" s="40"/>
      <c r="D807" s="40"/>
      <c r="E807" s="40"/>
      <c r="F807" s="40"/>
      <c r="G807" s="40"/>
      <c r="H807" s="40"/>
      <c r="I807" s="40"/>
      <c r="J807" s="40"/>
      <c r="K807" s="40"/>
      <c r="L807" s="40"/>
      <c r="M807" s="40"/>
      <c r="N807" s="40"/>
      <c r="O807" s="40"/>
      <c r="P807" s="40"/>
      <c r="Q807" s="40"/>
      <c r="R807" s="40"/>
      <c r="S807" s="40"/>
      <c r="T807" s="40"/>
      <c r="U807" s="40"/>
      <c r="V807" s="40"/>
      <c r="W807" s="40"/>
      <c r="X807" s="40"/>
      <c r="Y807" s="40"/>
      <c r="Z807" s="40"/>
      <c r="AA807" s="40"/>
      <c r="AB807" s="40"/>
      <c r="AC807" s="40"/>
      <c r="AD807" s="40"/>
      <c r="AE807" s="40"/>
      <c r="AF807" s="40"/>
      <c r="AG807" s="40"/>
      <c r="AH807" s="40"/>
      <c r="AI807" s="40"/>
      <c r="AJ807" s="40"/>
      <c r="AK807" s="40"/>
      <c r="AL807" s="40"/>
      <c r="AM807" s="40"/>
      <c r="AN807" s="40"/>
      <c r="AO807" s="40"/>
      <c r="AP807" s="40"/>
    </row>
    <row r="808" spans="2:42" x14ac:dyDescent="0.2">
      <c r="B808" s="40"/>
      <c r="C808" s="40"/>
      <c r="D808" s="40"/>
      <c r="E808" s="40"/>
      <c r="F808" s="40"/>
      <c r="G808" s="40"/>
      <c r="H808" s="40"/>
      <c r="I808" s="40"/>
      <c r="J808" s="40"/>
      <c r="K808" s="40"/>
      <c r="L808" s="40"/>
      <c r="M808" s="40"/>
      <c r="N808" s="40"/>
      <c r="O808" s="40"/>
      <c r="P808" s="40"/>
      <c r="Q808" s="40"/>
      <c r="R808" s="40"/>
      <c r="S808" s="40"/>
      <c r="T808" s="40"/>
      <c r="U808" s="40"/>
      <c r="V808" s="40"/>
      <c r="W808" s="40"/>
      <c r="X808" s="40"/>
      <c r="Y808" s="40"/>
      <c r="Z808" s="40"/>
      <c r="AA808" s="40"/>
      <c r="AB808" s="40"/>
      <c r="AC808" s="40"/>
      <c r="AD808" s="40"/>
      <c r="AE808" s="40"/>
      <c r="AF808" s="40"/>
      <c r="AG808" s="40"/>
      <c r="AH808" s="40"/>
      <c r="AI808" s="40"/>
      <c r="AJ808" s="40"/>
      <c r="AK808" s="40"/>
      <c r="AL808" s="40"/>
      <c r="AM808" s="40"/>
      <c r="AN808" s="40"/>
      <c r="AO808" s="40"/>
      <c r="AP808" s="40"/>
    </row>
    <row r="809" spans="2:42" x14ac:dyDescent="0.2">
      <c r="B809" s="40"/>
      <c r="C809" s="40"/>
      <c r="D809" s="40"/>
      <c r="E809" s="40"/>
      <c r="F809" s="40"/>
      <c r="G809" s="40"/>
      <c r="H809" s="40"/>
      <c r="I809" s="40"/>
      <c r="J809" s="40"/>
      <c r="K809" s="40"/>
      <c r="L809" s="40"/>
      <c r="M809" s="40"/>
      <c r="N809" s="40"/>
      <c r="O809" s="40"/>
      <c r="P809" s="40"/>
      <c r="Q809" s="40"/>
      <c r="R809" s="40"/>
      <c r="S809" s="40"/>
      <c r="T809" s="40"/>
      <c r="U809" s="40"/>
      <c r="V809" s="40"/>
      <c r="W809" s="40"/>
      <c r="X809" s="40"/>
      <c r="Y809" s="40"/>
      <c r="Z809" s="40"/>
      <c r="AA809" s="40"/>
      <c r="AB809" s="40"/>
      <c r="AC809" s="40"/>
      <c r="AD809" s="40"/>
      <c r="AE809" s="40"/>
      <c r="AF809" s="40"/>
      <c r="AG809" s="40"/>
      <c r="AH809" s="40"/>
      <c r="AI809" s="40"/>
      <c r="AJ809" s="40"/>
      <c r="AK809" s="40"/>
      <c r="AL809" s="40"/>
      <c r="AM809" s="40"/>
      <c r="AN809" s="40"/>
      <c r="AO809" s="40"/>
      <c r="AP809" s="40"/>
    </row>
    <row r="810" spans="2:42" x14ac:dyDescent="0.2">
      <c r="B810" s="40"/>
      <c r="C810" s="40"/>
      <c r="D810" s="40"/>
      <c r="E810" s="40"/>
      <c r="F810" s="40"/>
      <c r="G810" s="40"/>
      <c r="H810" s="40"/>
      <c r="I810" s="40"/>
      <c r="J810" s="40"/>
      <c r="K810" s="40"/>
      <c r="L810" s="40"/>
      <c r="M810" s="40"/>
      <c r="N810" s="40"/>
      <c r="O810" s="40"/>
      <c r="P810" s="40"/>
      <c r="Q810" s="40"/>
      <c r="R810" s="40"/>
      <c r="S810" s="40"/>
      <c r="T810" s="40"/>
      <c r="U810" s="40"/>
      <c r="V810" s="40"/>
      <c r="W810" s="40"/>
      <c r="X810" s="40"/>
      <c r="Y810" s="40"/>
      <c r="Z810" s="40"/>
      <c r="AA810" s="40"/>
      <c r="AB810" s="40"/>
      <c r="AC810" s="40"/>
      <c r="AD810" s="40"/>
      <c r="AE810" s="40"/>
      <c r="AF810" s="40"/>
      <c r="AG810" s="40"/>
      <c r="AH810" s="40"/>
      <c r="AI810" s="40"/>
      <c r="AJ810" s="40"/>
      <c r="AK810" s="40"/>
      <c r="AL810" s="40"/>
      <c r="AM810" s="40"/>
      <c r="AN810" s="40"/>
      <c r="AO810" s="40"/>
      <c r="AP810" s="40"/>
    </row>
    <row r="811" spans="2:42" x14ac:dyDescent="0.2">
      <c r="B811" s="40"/>
      <c r="C811" s="40"/>
      <c r="D811" s="40"/>
      <c r="E811" s="40"/>
      <c r="F811" s="40"/>
      <c r="G811" s="40"/>
      <c r="H811" s="40"/>
      <c r="I811" s="40"/>
      <c r="J811" s="40"/>
      <c r="K811" s="40"/>
      <c r="L811" s="40"/>
      <c r="M811" s="40"/>
      <c r="N811" s="40"/>
      <c r="O811" s="40"/>
      <c r="P811" s="40"/>
      <c r="Q811" s="40"/>
      <c r="R811" s="40"/>
      <c r="S811" s="40"/>
      <c r="T811" s="40"/>
      <c r="U811" s="40"/>
      <c r="V811" s="40"/>
      <c r="W811" s="40"/>
      <c r="X811" s="40"/>
      <c r="Y811" s="40"/>
      <c r="Z811" s="40"/>
      <c r="AA811" s="40"/>
      <c r="AB811" s="40"/>
      <c r="AC811" s="40"/>
      <c r="AD811" s="40"/>
      <c r="AE811" s="40"/>
      <c r="AF811" s="40"/>
      <c r="AG811" s="40"/>
      <c r="AH811" s="40"/>
      <c r="AI811" s="40"/>
      <c r="AJ811" s="40"/>
      <c r="AK811" s="40"/>
      <c r="AL811" s="40"/>
      <c r="AM811" s="40"/>
      <c r="AN811" s="40"/>
      <c r="AO811" s="40"/>
      <c r="AP811" s="40"/>
    </row>
    <row r="812" spans="2:42" x14ac:dyDescent="0.2">
      <c r="B812" s="40"/>
      <c r="C812" s="40"/>
      <c r="D812" s="40"/>
      <c r="E812" s="40"/>
      <c r="F812" s="40"/>
      <c r="G812" s="40"/>
      <c r="H812" s="40"/>
      <c r="I812" s="40"/>
      <c r="J812" s="40"/>
      <c r="K812" s="40"/>
      <c r="L812" s="40"/>
      <c r="M812" s="40"/>
      <c r="N812" s="40"/>
      <c r="O812" s="40"/>
      <c r="P812" s="40"/>
      <c r="Q812" s="40"/>
      <c r="R812" s="40"/>
      <c r="S812" s="40"/>
      <c r="T812" s="40"/>
      <c r="U812" s="40"/>
      <c r="V812" s="40"/>
      <c r="W812" s="40"/>
      <c r="X812" s="40"/>
      <c r="Y812" s="40"/>
      <c r="Z812" s="40"/>
      <c r="AA812" s="40"/>
      <c r="AB812" s="40"/>
      <c r="AC812" s="40"/>
      <c r="AD812" s="40"/>
      <c r="AE812" s="40"/>
      <c r="AF812" s="40"/>
      <c r="AG812" s="40"/>
      <c r="AH812" s="40"/>
      <c r="AI812" s="40"/>
      <c r="AJ812" s="40"/>
      <c r="AK812" s="40"/>
      <c r="AL812" s="40"/>
      <c r="AM812" s="40"/>
      <c r="AN812" s="40"/>
      <c r="AO812" s="40"/>
      <c r="AP812" s="40"/>
    </row>
    <row r="813" spans="2:42" x14ac:dyDescent="0.2">
      <c r="B813" s="40"/>
      <c r="C813" s="40"/>
      <c r="D813" s="40"/>
      <c r="E813" s="40"/>
      <c r="F813" s="40"/>
      <c r="G813" s="40"/>
      <c r="H813" s="40"/>
      <c r="I813" s="40"/>
      <c r="J813" s="40"/>
      <c r="K813" s="40"/>
      <c r="L813" s="40"/>
      <c r="M813" s="40"/>
      <c r="N813" s="40"/>
      <c r="O813" s="40"/>
      <c r="P813" s="40"/>
      <c r="Q813" s="40"/>
      <c r="R813" s="40"/>
      <c r="S813" s="40"/>
      <c r="T813" s="40"/>
      <c r="U813" s="40"/>
      <c r="V813" s="40"/>
      <c r="W813" s="40"/>
      <c r="X813" s="40"/>
      <c r="Y813" s="40"/>
      <c r="Z813" s="40"/>
      <c r="AA813" s="40"/>
      <c r="AB813" s="40"/>
      <c r="AC813" s="40"/>
      <c r="AD813" s="40"/>
      <c r="AE813" s="40"/>
      <c r="AF813" s="40"/>
      <c r="AG813" s="40"/>
      <c r="AH813" s="40"/>
      <c r="AI813" s="40"/>
      <c r="AJ813" s="40"/>
      <c r="AK813" s="40"/>
      <c r="AL813" s="40"/>
      <c r="AM813" s="40"/>
      <c r="AN813" s="40"/>
      <c r="AO813" s="40"/>
      <c r="AP813" s="40"/>
    </row>
    <row r="814" spans="2:42" x14ac:dyDescent="0.2">
      <c r="B814" s="40"/>
      <c r="C814" s="40"/>
      <c r="D814" s="40"/>
      <c r="E814" s="40"/>
      <c r="F814" s="40"/>
      <c r="G814" s="40"/>
      <c r="H814" s="40"/>
      <c r="I814" s="40"/>
      <c r="J814" s="40"/>
      <c r="K814" s="40"/>
      <c r="L814" s="40"/>
      <c r="M814" s="40"/>
      <c r="N814" s="40"/>
      <c r="O814" s="40"/>
      <c r="P814" s="40"/>
      <c r="Q814" s="40"/>
      <c r="R814" s="40"/>
      <c r="S814" s="40"/>
      <c r="T814" s="40"/>
      <c r="U814" s="40"/>
      <c r="V814" s="40"/>
      <c r="W814" s="40"/>
      <c r="X814" s="40"/>
      <c r="Y814" s="40"/>
      <c r="Z814" s="40"/>
      <c r="AA814" s="40"/>
      <c r="AB814" s="40"/>
      <c r="AC814" s="40"/>
      <c r="AD814" s="40"/>
      <c r="AE814" s="40"/>
      <c r="AF814" s="40"/>
      <c r="AG814" s="40"/>
      <c r="AH814" s="40"/>
      <c r="AI814" s="40"/>
      <c r="AJ814" s="40"/>
      <c r="AK814" s="40"/>
      <c r="AL814" s="40"/>
      <c r="AM814" s="40"/>
      <c r="AN814" s="40"/>
      <c r="AO814" s="40"/>
      <c r="AP814" s="40"/>
    </row>
    <row r="815" spans="2:42" x14ac:dyDescent="0.2">
      <c r="B815" s="40"/>
      <c r="C815" s="40"/>
      <c r="D815" s="40"/>
      <c r="E815" s="40"/>
      <c r="F815" s="40"/>
      <c r="G815" s="40"/>
      <c r="H815" s="40"/>
      <c r="I815" s="40"/>
      <c r="J815" s="40"/>
      <c r="K815" s="40"/>
      <c r="L815" s="40"/>
      <c r="M815" s="40"/>
      <c r="N815" s="40"/>
      <c r="O815" s="40"/>
      <c r="P815" s="40"/>
      <c r="Q815" s="40"/>
      <c r="R815" s="40"/>
      <c r="S815" s="40"/>
      <c r="T815" s="40"/>
      <c r="U815" s="40"/>
      <c r="V815" s="40"/>
      <c r="W815" s="40"/>
      <c r="X815" s="40"/>
      <c r="Y815" s="40"/>
      <c r="Z815" s="40"/>
      <c r="AA815" s="40"/>
      <c r="AB815" s="40"/>
      <c r="AC815" s="40"/>
      <c r="AD815" s="40"/>
      <c r="AE815" s="40"/>
      <c r="AF815" s="40"/>
      <c r="AG815" s="40"/>
      <c r="AH815" s="40"/>
      <c r="AI815" s="40"/>
      <c r="AJ815" s="40"/>
      <c r="AK815" s="40"/>
      <c r="AL815" s="40"/>
      <c r="AM815" s="40"/>
      <c r="AN815" s="40"/>
      <c r="AO815" s="40"/>
      <c r="AP815" s="40"/>
    </row>
    <row r="816" spans="2:42" x14ac:dyDescent="0.2">
      <c r="B816" s="40"/>
      <c r="C816" s="40"/>
      <c r="D816" s="40"/>
      <c r="E816" s="40"/>
      <c r="F816" s="40"/>
      <c r="G816" s="40"/>
      <c r="H816" s="40"/>
      <c r="I816" s="40"/>
      <c r="J816" s="40"/>
      <c r="K816" s="40"/>
      <c r="L816" s="40"/>
      <c r="M816" s="40"/>
      <c r="N816" s="40"/>
      <c r="O816" s="40"/>
      <c r="P816" s="40"/>
      <c r="Q816" s="40"/>
      <c r="R816" s="40"/>
      <c r="S816" s="40"/>
      <c r="T816" s="40"/>
      <c r="U816" s="40"/>
      <c r="V816" s="40"/>
      <c r="W816" s="40"/>
      <c r="X816" s="40"/>
      <c r="Y816" s="40"/>
      <c r="Z816" s="40"/>
      <c r="AA816" s="40"/>
      <c r="AB816" s="40"/>
      <c r="AC816" s="40"/>
      <c r="AD816" s="40"/>
      <c r="AE816" s="40"/>
      <c r="AF816" s="40"/>
      <c r="AG816" s="40"/>
      <c r="AH816" s="40"/>
      <c r="AI816" s="40"/>
      <c r="AJ816" s="40"/>
      <c r="AK816" s="40"/>
      <c r="AL816" s="40"/>
      <c r="AM816" s="40"/>
      <c r="AN816" s="40"/>
      <c r="AO816" s="40"/>
      <c r="AP816" s="40"/>
    </row>
    <row r="817" spans="2:42" x14ac:dyDescent="0.2">
      <c r="B817" s="40"/>
      <c r="C817" s="40"/>
      <c r="D817" s="40"/>
      <c r="E817" s="40"/>
      <c r="F817" s="40"/>
      <c r="G817" s="40"/>
      <c r="H817" s="40"/>
      <c r="I817" s="40"/>
      <c r="J817" s="40"/>
      <c r="K817" s="40"/>
      <c r="L817" s="40"/>
      <c r="M817" s="40"/>
      <c r="N817" s="40"/>
      <c r="O817" s="40"/>
      <c r="P817" s="40"/>
      <c r="Q817" s="40"/>
      <c r="R817" s="40"/>
      <c r="S817" s="40"/>
      <c r="T817" s="40"/>
      <c r="U817" s="40"/>
      <c r="V817" s="40"/>
      <c r="W817" s="40"/>
      <c r="X817" s="40"/>
      <c r="Y817" s="40"/>
      <c r="Z817" s="40"/>
      <c r="AA817" s="40"/>
      <c r="AB817" s="40"/>
      <c r="AC817" s="40"/>
      <c r="AD817" s="40"/>
      <c r="AE817" s="40"/>
      <c r="AF817" s="40"/>
      <c r="AG817" s="40"/>
      <c r="AH817" s="40"/>
      <c r="AI817" s="40"/>
      <c r="AJ817" s="40"/>
      <c r="AK817" s="40"/>
      <c r="AL817" s="40"/>
      <c r="AM817" s="40"/>
      <c r="AN817" s="40"/>
      <c r="AO817" s="40"/>
      <c r="AP817" s="40"/>
    </row>
    <row r="818" spans="2:42" x14ac:dyDescent="0.2">
      <c r="B818" s="40"/>
      <c r="C818" s="40"/>
      <c r="D818" s="40"/>
      <c r="E818" s="40"/>
      <c r="F818" s="40"/>
      <c r="G818" s="40"/>
      <c r="H818" s="40"/>
      <c r="I818" s="40"/>
      <c r="J818" s="40"/>
      <c r="K818" s="40"/>
      <c r="L818" s="40"/>
      <c r="M818" s="40"/>
      <c r="N818" s="40"/>
      <c r="O818" s="40"/>
      <c r="P818" s="40"/>
      <c r="Q818" s="40"/>
      <c r="R818" s="40"/>
      <c r="S818" s="40"/>
      <c r="T818" s="40"/>
      <c r="U818" s="40"/>
      <c r="V818" s="40"/>
      <c r="W818" s="40"/>
      <c r="X818" s="40"/>
      <c r="Y818" s="40"/>
      <c r="Z818" s="40"/>
      <c r="AA818" s="40"/>
      <c r="AB818" s="40"/>
      <c r="AC818" s="40"/>
      <c r="AD818" s="40"/>
      <c r="AE818" s="40"/>
      <c r="AF818" s="40"/>
      <c r="AG818" s="40"/>
      <c r="AH818" s="40"/>
      <c r="AI818" s="40"/>
      <c r="AJ818" s="40"/>
      <c r="AK818" s="40"/>
      <c r="AL818" s="40"/>
      <c r="AM818" s="40"/>
      <c r="AN818" s="40"/>
      <c r="AO818" s="40"/>
      <c r="AP818" s="40"/>
    </row>
    <row r="819" spans="2:42" x14ac:dyDescent="0.2">
      <c r="B819" s="40"/>
      <c r="C819" s="40"/>
      <c r="D819" s="40"/>
      <c r="E819" s="40"/>
      <c r="F819" s="40"/>
      <c r="G819" s="40"/>
      <c r="H819" s="40"/>
      <c r="I819" s="40"/>
      <c r="J819" s="40"/>
      <c r="K819" s="40"/>
      <c r="L819" s="40"/>
      <c r="M819" s="40"/>
      <c r="N819" s="40"/>
      <c r="O819" s="40"/>
      <c r="P819" s="40"/>
      <c r="Q819" s="40"/>
      <c r="R819" s="40"/>
      <c r="S819" s="40"/>
      <c r="T819" s="40"/>
      <c r="U819" s="40"/>
      <c r="V819" s="40"/>
      <c r="W819" s="40"/>
      <c r="X819" s="40"/>
      <c r="Y819" s="40"/>
      <c r="Z819" s="40"/>
      <c r="AA819" s="40"/>
      <c r="AB819" s="40"/>
      <c r="AC819" s="40"/>
      <c r="AD819" s="40"/>
      <c r="AE819" s="40"/>
      <c r="AF819" s="40"/>
      <c r="AG819" s="40"/>
      <c r="AH819" s="40"/>
      <c r="AI819" s="40"/>
      <c r="AJ819" s="40"/>
      <c r="AK819" s="40"/>
      <c r="AL819" s="40"/>
      <c r="AM819" s="40"/>
      <c r="AN819" s="40"/>
      <c r="AO819" s="40"/>
      <c r="AP819" s="40"/>
    </row>
    <row r="820" spans="2:42" x14ac:dyDescent="0.2">
      <c r="B820" s="40"/>
      <c r="C820" s="40"/>
      <c r="D820" s="40"/>
      <c r="E820" s="40"/>
      <c r="F820" s="40"/>
      <c r="G820" s="40"/>
      <c r="H820" s="40"/>
      <c r="I820" s="40"/>
      <c r="J820" s="40"/>
      <c r="K820" s="40"/>
      <c r="L820" s="40"/>
      <c r="M820" s="40"/>
      <c r="N820" s="40"/>
      <c r="O820" s="40"/>
      <c r="P820" s="40"/>
      <c r="Q820" s="40"/>
      <c r="R820" s="40"/>
      <c r="S820" s="40"/>
      <c r="T820" s="40"/>
      <c r="U820" s="40"/>
      <c r="V820" s="40"/>
      <c r="W820" s="40"/>
      <c r="X820" s="40"/>
      <c r="Y820" s="40"/>
      <c r="Z820" s="40"/>
      <c r="AA820" s="40"/>
      <c r="AB820" s="40"/>
      <c r="AC820" s="40"/>
      <c r="AD820" s="40"/>
      <c r="AE820" s="40"/>
      <c r="AF820" s="40"/>
      <c r="AG820" s="40"/>
      <c r="AH820" s="40"/>
      <c r="AI820" s="40"/>
      <c r="AJ820" s="40"/>
      <c r="AK820" s="40"/>
      <c r="AL820" s="40"/>
      <c r="AM820" s="40"/>
      <c r="AN820" s="40"/>
      <c r="AO820" s="40"/>
      <c r="AP820" s="40"/>
    </row>
    <row r="821" spans="2:42" x14ac:dyDescent="0.2">
      <c r="B821" s="40"/>
      <c r="C821" s="40"/>
      <c r="D821" s="40"/>
      <c r="E821" s="40"/>
      <c r="F821" s="40"/>
      <c r="G821" s="40"/>
      <c r="H821" s="40"/>
      <c r="I821" s="40"/>
      <c r="J821" s="40"/>
      <c r="K821" s="40"/>
      <c r="L821" s="40"/>
      <c r="M821" s="40"/>
      <c r="N821" s="40"/>
      <c r="O821" s="40"/>
      <c r="P821" s="40"/>
      <c r="Q821" s="40"/>
      <c r="R821" s="40"/>
      <c r="S821" s="40"/>
      <c r="T821" s="40"/>
      <c r="U821" s="40"/>
      <c r="V821" s="40"/>
      <c r="W821" s="40"/>
      <c r="X821" s="40"/>
      <c r="Y821" s="40"/>
      <c r="Z821" s="40"/>
      <c r="AA821" s="40"/>
      <c r="AB821" s="40"/>
      <c r="AC821" s="40"/>
      <c r="AD821" s="40"/>
      <c r="AE821" s="40"/>
      <c r="AF821" s="40"/>
      <c r="AG821" s="40"/>
      <c r="AH821" s="40"/>
      <c r="AI821" s="40"/>
      <c r="AJ821" s="40"/>
      <c r="AK821" s="40"/>
      <c r="AL821" s="40"/>
      <c r="AM821" s="40"/>
      <c r="AN821" s="40"/>
      <c r="AO821" s="40"/>
      <c r="AP821" s="40"/>
    </row>
    <row r="822" spans="2:42" x14ac:dyDescent="0.2">
      <c r="B822" s="40"/>
      <c r="C822" s="40"/>
      <c r="D822" s="40"/>
      <c r="E822" s="40"/>
      <c r="F822" s="40"/>
      <c r="G822" s="40"/>
      <c r="H822" s="40"/>
      <c r="I822" s="40"/>
      <c r="J822" s="40"/>
      <c r="K822" s="40"/>
      <c r="L822" s="40"/>
      <c r="M822" s="40"/>
      <c r="N822" s="40"/>
      <c r="O822" s="40"/>
      <c r="P822" s="40"/>
      <c r="Q822" s="40"/>
      <c r="R822" s="40"/>
      <c r="S822" s="40"/>
      <c r="T822" s="40"/>
      <c r="U822" s="40"/>
      <c r="V822" s="40"/>
      <c r="W822" s="40"/>
      <c r="X822" s="40"/>
      <c r="Y822" s="40"/>
      <c r="Z822" s="40"/>
      <c r="AA822" s="40"/>
      <c r="AB822" s="40"/>
      <c r="AC822" s="40"/>
      <c r="AD822" s="40"/>
      <c r="AE822" s="40"/>
      <c r="AF822" s="40"/>
      <c r="AG822" s="40"/>
      <c r="AH822" s="40"/>
      <c r="AI822" s="40"/>
      <c r="AJ822" s="40"/>
      <c r="AK822" s="40"/>
      <c r="AL822" s="40"/>
      <c r="AM822" s="40"/>
      <c r="AN822" s="40"/>
      <c r="AO822" s="40"/>
      <c r="AP822" s="40"/>
    </row>
    <row r="823" spans="2:42" x14ac:dyDescent="0.2">
      <c r="B823" s="40"/>
      <c r="C823" s="40"/>
      <c r="D823" s="40"/>
      <c r="E823" s="40"/>
      <c r="F823" s="40"/>
      <c r="G823" s="40"/>
      <c r="H823" s="40"/>
      <c r="I823" s="40"/>
      <c r="J823" s="40"/>
      <c r="K823" s="40"/>
      <c r="L823" s="40"/>
      <c r="M823" s="40"/>
      <c r="N823" s="40"/>
      <c r="O823" s="40"/>
      <c r="P823" s="40"/>
      <c r="Q823" s="40"/>
      <c r="R823" s="40"/>
      <c r="S823" s="40"/>
      <c r="T823" s="40"/>
      <c r="U823" s="40"/>
      <c r="V823" s="40"/>
      <c r="W823" s="40"/>
      <c r="X823" s="40"/>
      <c r="Y823" s="40"/>
      <c r="Z823" s="40"/>
      <c r="AA823" s="40"/>
      <c r="AB823" s="40"/>
      <c r="AC823" s="40"/>
      <c r="AD823" s="40"/>
      <c r="AE823" s="40"/>
      <c r="AF823" s="40"/>
      <c r="AG823" s="40"/>
      <c r="AH823" s="40"/>
      <c r="AI823" s="40"/>
      <c r="AJ823" s="40"/>
      <c r="AK823" s="40"/>
      <c r="AL823" s="40"/>
      <c r="AM823" s="40"/>
      <c r="AN823" s="40"/>
      <c r="AO823" s="40"/>
      <c r="AP823" s="40"/>
    </row>
    <row r="824" spans="2:42" x14ac:dyDescent="0.2">
      <c r="B824" s="40"/>
      <c r="C824" s="40"/>
      <c r="D824" s="40"/>
      <c r="E824" s="40"/>
      <c r="F824" s="40"/>
      <c r="G824" s="40"/>
      <c r="H824" s="40"/>
      <c r="I824" s="40"/>
      <c r="J824" s="40"/>
      <c r="K824" s="40"/>
      <c r="L824" s="40"/>
      <c r="M824" s="40"/>
      <c r="N824" s="40"/>
      <c r="O824" s="40"/>
      <c r="P824" s="40"/>
      <c r="Q824" s="40"/>
      <c r="R824" s="40"/>
      <c r="S824" s="40"/>
      <c r="T824" s="40"/>
      <c r="U824" s="40"/>
      <c r="V824" s="40"/>
      <c r="W824" s="40"/>
      <c r="X824" s="40"/>
      <c r="Y824" s="40"/>
      <c r="Z824" s="40"/>
      <c r="AA824" s="40"/>
      <c r="AB824" s="40"/>
      <c r="AC824" s="40"/>
      <c r="AD824" s="40"/>
      <c r="AE824" s="40"/>
      <c r="AF824" s="40"/>
      <c r="AG824" s="40"/>
      <c r="AH824" s="40"/>
      <c r="AI824" s="40"/>
      <c r="AJ824" s="40"/>
      <c r="AK824" s="40"/>
      <c r="AL824" s="40"/>
      <c r="AM824" s="40"/>
      <c r="AN824" s="40"/>
      <c r="AO824" s="40"/>
      <c r="AP824" s="40"/>
    </row>
    <row r="825" spans="2:42" x14ac:dyDescent="0.2">
      <c r="B825" s="40"/>
      <c r="C825" s="40"/>
      <c r="D825" s="40"/>
      <c r="E825" s="40"/>
      <c r="F825" s="40"/>
      <c r="G825" s="40"/>
      <c r="H825" s="40"/>
      <c r="I825" s="40"/>
      <c r="J825" s="40"/>
      <c r="K825" s="40"/>
      <c r="L825" s="40"/>
      <c r="M825" s="40"/>
      <c r="N825" s="40"/>
      <c r="O825" s="40"/>
      <c r="P825" s="40"/>
      <c r="Q825" s="40"/>
      <c r="R825" s="40"/>
      <c r="S825" s="40"/>
      <c r="T825" s="40"/>
      <c r="U825" s="40"/>
      <c r="V825" s="40"/>
      <c r="W825" s="40"/>
      <c r="X825" s="40"/>
      <c r="Y825" s="40"/>
      <c r="Z825" s="40"/>
      <c r="AA825" s="40"/>
      <c r="AB825" s="40"/>
      <c r="AC825" s="40"/>
      <c r="AD825" s="40"/>
      <c r="AE825" s="40"/>
      <c r="AF825" s="40"/>
      <c r="AG825" s="40"/>
      <c r="AH825" s="40"/>
      <c r="AI825" s="40"/>
      <c r="AJ825" s="40"/>
      <c r="AK825" s="40"/>
      <c r="AL825" s="40"/>
      <c r="AM825" s="40"/>
      <c r="AN825" s="40"/>
      <c r="AO825" s="40"/>
      <c r="AP825" s="40"/>
    </row>
    <row r="826" spans="2:42" x14ac:dyDescent="0.2">
      <c r="B826" s="40"/>
      <c r="C826" s="40"/>
      <c r="D826" s="40"/>
      <c r="E826" s="40"/>
      <c r="F826" s="40"/>
      <c r="G826" s="40"/>
      <c r="H826" s="40"/>
      <c r="I826" s="40"/>
      <c r="J826" s="40"/>
      <c r="K826" s="40"/>
      <c r="L826" s="40"/>
      <c r="M826" s="40"/>
      <c r="N826" s="40"/>
      <c r="O826" s="40"/>
      <c r="P826" s="40"/>
      <c r="Q826" s="40"/>
      <c r="R826" s="40"/>
      <c r="S826" s="40"/>
      <c r="T826" s="40"/>
      <c r="U826" s="40"/>
      <c r="V826" s="40"/>
      <c r="W826" s="40"/>
      <c r="X826" s="40"/>
      <c r="Y826" s="40"/>
      <c r="Z826" s="40"/>
      <c r="AA826" s="40"/>
      <c r="AB826" s="40"/>
      <c r="AC826" s="40"/>
      <c r="AD826" s="40"/>
      <c r="AE826" s="40"/>
      <c r="AF826" s="40"/>
      <c r="AG826" s="40"/>
      <c r="AH826" s="40"/>
      <c r="AI826" s="40"/>
      <c r="AJ826" s="40"/>
      <c r="AK826" s="40"/>
      <c r="AL826" s="40"/>
      <c r="AM826" s="40"/>
      <c r="AN826" s="40"/>
      <c r="AO826" s="40"/>
      <c r="AP826" s="40"/>
    </row>
    <row r="827" spans="2:42" x14ac:dyDescent="0.2">
      <c r="B827" s="40"/>
      <c r="C827" s="40"/>
      <c r="D827" s="40"/>
      <c r="E827" s="40"/>
      <c r="F827" s="40"/>
      <c r="G827" s="40"/>
      <c r="H827" s="40"/>
      <c r="I827" s="40"/>
      <c r="J827" s="40"/>
      <c r="K827" s="40"/>
      <c r="L827" s="40"/>
      <c r="M827" s="40"/>
      <c r="N827" s="40"/>
      <c r="O827" s="40"/>
      <c r="P827" s="40"/>
      <c r="Q827" s="40"/>
      <c r="R827" s="40"/>
      <c r="S827" s="40"/>
      <c r="T827" s="40"/>
      <c r="U827" s="40"/>
      <c r="V827" s="40"/>
      <c r="W827" s="40"/>
      <c r="X827" s="40"/>
      <c r="Y827" s="40"/>
      <c r="Z827" s="40"/>
      <c r="AA827" s="40"/>
      <c r="AB827" s="40"/>
      <c r="AC827" s="40"/>
      <c r="AD827" s="40"/>
      <c r="AE827" s="40"/>
      <c r="AF827" s="40"/>
      <c r="AG827" s="40"/>
      <c r="AH827" s="40"/>
      <c r="AI827" s="40"/>
      <c r="AJ827" s="40"/>
      <c r="AK827" s="40"/>
      <c r="AL827" s="40"/>
      <c r="AM827" s="40"/>
      <c r="AN827" s="40"/>
      <c r="AO827" s="40"/>
      <c r="AP827" s="40"/>
    </row>
    <row r="828" spans="2:42" x14ac:dyDescent="0.2">
      <c r="B828" s="40"/>
      <c r="C828" s="40"/>
      <c r="D828" s="40"/>
      <c r="E828" s="40"/>
      <c r="F828" s="40"/>
      <c r="G828" s="40"/>
      <c r="H828" s="40"/>
      <c r="I828" s="40"/>
      <c r="J828" s="40"/>
      <c r="K828" s="40"/>
      <c r="L828" s="40"/>
      <c r="M828" s="40"/>
      <c r="N828" s="40"/>
      <c r="O828" s="40"/>
      <c r="P828" s="40"/>
      <c r="Q828" s="40"/>
      <c r="R828" s="40"/>
      <c r="S828" s="40"/>
      <c r="T828" s="40"/>
      <c r="U828" s="40"/>
      <c r="V828" s="40"/>
      <c r="W828" s="40"/>
      <c r="X828" s="40"/>
      <c r="Y828" s="40"/>
      <c r="Z828" s="40"/>
      <c r="AA828" s="40"/>
      <c r="AB828" s="40"/>
      <c r="AC828" s="40"/>
      <c r="AD828" s="40"/>
      <c r="AE828" s="40"/>
      <c r="AF828" s="40"/>
      <c r="AG828" s="40"/>
      <c r="AH828" s="40"/>
      <c r="AI828" s="40"/>
      <c r="AJ828" s="40"/>
      <c r="AK828" s="40"/>
      <c r="AL828" s="40"/>
      <c r="AM828" s="40"/>
      <c r="AN828" s="40"/>
      <c r="AO828" s="40"/>
      <c r="AP828" s="40"/>
    </row>
    <row r="829" spans="2:42" x14ac:dyDescent="0.2">
      <c r="B829" s="40"/>
      <c r="C829" s="40"/>
      <c r="D829" s="40"/>
      <c r="E829" s="40"/>
      <c r="F829" s="40"/>
      <c r="G829" s="40"/>
      <c r="H829" s="40"/>
      <c r="I829" s="40"/>
      <c r="J829" s="40"/>
      <c r="K829" s="40"/>
      <c r="L829" s="40"/>
      <c r="M829" s="40"/>
      <c r="N829" s="40"/>
      <c r="O829" s="40"/>
      <c r="P829" s="40"/>
      <c r="Q829" s="40"/>
      <c r="R829" s="40"/>
      <c r="S829" s="40"/>
      <c r="T829" s="40"/>
      <c r="U829" s="40"/>
      <c r="V829" s="40"/>
      <c r="W829" s="40"/>
      <c r="X829" s="40"/>
      <c r="Y829" s="40"/>
      <c r="Z829" s="40"/>
      <c r="AA829" s="40"/>
      <c r="AB829" s="40"/>
      <c r="AC829" s="40"/>
      <c r="AD829" s="40"/>
      <c r="AE829" s="40"/>
      <c r="AF829" s="40"/>
      <c r="AG829" s="40"/>
      <c r="AH829" s="40"/>
      <c r="AI829" s="40"/>
      <c r="AJ829" s="40"/>
      <c r="AK829" s="40"/>
      <c r="AL829" s="40"/>
      <c r="AM829" s="40"/>
      <c r="AN829" s="40"/>
      <c r="AO829" s="40"/>
      <c r="AP829" s="40"/>
    </row>
    <row r="830" spans="2:42" x14ac:dyDescent="0.2">
      <c r="B830" s="40"/>
      <c r="C830" s="40"/>
      <c r="D830" s="40"/>
      <c r="E830" s="40"/>
      <c r="F830" s="40"/>
      <c r="G830" s="40"/>
      <c r="H830" s="40"/>
      <c r="I830" s="40"/>
      <c r="J830" s="40"/>
      <c r="K830" s="40"/>
      <c r="L830" s="40"/>
      <c r="M830" s="40"/>
      <c r="N830" s="40"/>
      <c r="O830" s="40"/>
      <c r="P830" s="40"/>
      <c r="Q830" s="40"/>
      <c r="R830" s="40"/>
      <c r="S830" s="40"/>
      <c r="T830" s="40"/>
      <c r="U830" s="40"/>
      <c r="V830" s="40"/>
      <c r="W830" s="40"/>
      <c r="X830" s="40"/>
      <c r="Y830" s="40"/>
      <c r="Z830" s="40"/>
      <c r="AA830" s="40"/>
      <c r="AB830" s="40"/>
      <c r="AC830" s="40"/>
      <c r="AD830" s="40"/>
      <c r="AE830" s="40"/>
      <c r="AF830" s="40"/>
      <c r="AG830" s="40"/>
      <c r="AH830" s="40"/>
      <c r="AI830" s="40"/>
      <c r="AJ830" s="40"/>
      <c r="AK830" s="40"/>
      <c r="AL830" s="40"/>
      <c r="AM830" s="40"/>
      <c r="AN830" s="40"/>
      <c r="AO830" s="40"/>
      <c r="AP830" s="40"/>
    </row>
    <row r="831" spans="2:42" x14ac:dyDescent="0.2">
      <c r="B831" s="40"/>
      <c r="C831" s="40"/>
      <c r="D831" s="40"/>
      <c r="E831" s="40"/>
      <c r="F831" s="40"/>
      <c r="G831" s="40"/>
      <c r="H831" s="40"/>
      <c r="I831" s="40"/>
      <c r="J831" s="40"/>
      <c r="K831" s="40"/>
      <c r="L831" s="40"/>
      <c r="M831" s="40"/>
      <c r="N831" s="40"/>
      <c r="O831" s="40"/>
      <c r="P831" s="40"/>
      <c r="Q831" s="40"/>
      <c r="R831" s="40"/>
      <c r="S831" s="40"/>
      <c r="T831" s="40"/>
      <c r="U831" s="40"/>
      <c r="V831" s="40"/>
      <c r="W831" s="40"/>
      <c r="X831" s="40"/>
      <c r="Y831" s="40"/>
      <c r="Z831" s="40"/>
      <c r="AA831" s="40"/>
      <c r="AB831" s="40"/>
      <c r="AC831" s="40"/>
      <c r="AD831" s="40"/>
      <c r="AE831" s="40"/>
      <c r="AF831" s="40"/>
      <c r="AG831" s="40"/>
      <c r="AH831" s="40"/>
      <c r="AI831" s="40"/>
      <c r="AJ831" s="40"/>
      <c r="AK831" s="40"/>
      <c r="AL831" s="40"/>
      <c r="AM831" s="40"/>
      <c r="AN831" s="40"/>
      <c r="AO831" s="40"/>
      <c r="AP831" s="40"/>
    </row>
    <row r="832" spans="2:42" x14ac:dyDescent="0.2">
      <c r="B832" s="40"/>
      <c r="C832" s="40"/>
      <c r="D832" s="40"/>
      <c r="E832" s="40"/>
      <c r="F832" s="40"/>
      <c r="G832" s="40"/>
      <c r="H832" s="40"/>
      <c r="I832" s="40"/>
      <c r="J832" s="40"/>
      <c r="K832" s="40"/>
      <c r="L832" s="40"/>
      <c r="M832" s="40"/>
      <c r="N832" s="40"/>
      <c r="O832" s="40"/>
      <c r="P832" s="40"/>
      <c r="Q832" s="40"/>
      <c r="R832" s="40"/>
      <c r="S832" s="40"/>
      <c r="T832" s="40"/>
      <c r="U832" s="40"/>
      <c r="V832" s="40"/>
      <c r="W832" s="40"/>
      <c r="X832" s="40"/>
      <c r="Y832" s="40"/>
      <c r="Z832" s="40"/>
      <c r="AA832" s="40"/>
      <c r="AB832" s="40"/>
      <c r="AC832" s="40"/>
      <c r="AD832" s="40"/>
      <c r="AE832" s="40"/>
      <c r="AF832" s="40"/>
      <c r="AG832" s="40"/>
      <c r="AH832" s="40"/>
      <c r="AI832" s="40"/>
      <c r="AJ832" s="40"/>
      <c r="AK832" s="40"/>
      <c r="AL832" s="40"/>
      <c r="AM832" s="40"/>
      <c r="AN832" s="40"/>
      <c r="AO832" s="40"/>
      <c r="AP832" s="40"/>
    </row>
    <row r="833" spans="2:42" x14ac:dyDescent="0.2">
      <c r="B833" s="40"/>
      <c r="C833" s="40"/>
      <c r="D833" s="40"/>
      <c r="E833" s="40"/>
      <c r="F833" s="40"/>
      <c r="G833" s="40"/>
      <c r="H833" s="40"/>
      <c r="I833" s="40"/>
      <c r="J833" s="40"/>
      <c r="K833" s="40"/>
      <c r="L833" s="40"/>
      <c r="M833" s="40"/>
      <c r="N833" s="40"/>
      <c r="O833" s="40"/>
      <c r="P833" s="40"/>
      <c r="Q833" s="40"/>
      <c r="R833" s="40"/>
      <c r="S833" s="40"/>
      <c r="T833" s="40"/>
      <c r="U833" s="40"/>
      <c r="V833" s="40"/>
      <c r="W833" s="40"/>
      <c r="X833" s="40"/>
      <c r="Y833" s="40"/>
      <c r="Z833" s="40"/>
      <c r="AA833" s="40"/>
      <c r="AB833" s="40"/>
      <c r="AC833" s="40"/>
      <c r="AD833" s="40"/>
      <c r="AE833" s="40"/>
      <c r="AF833" s="40"/>
      <c r="AG833" s="40"/>
      <c r="AH833" s="40"/>
      <c r="AI833" s="40"/>
      <c r="AJ833" s="40"/>
      <c r="AK833" s="40"/>
      <c r="AL833" s="40"/>
      <c r="AM833" s="40"/>
      <c r="AN833" s="40"/>
      <c r="AO833" s="40"/>
      <c r="AP833" s="40"/>
    </row>
    <row r="834" spans="2:42" x14ac:dyDescent="0.2">
      <c r="B834" s="40"/>
      <c r="C834" s="40"/>
      <c r="D834" s="40"/>
      <c r="E834" s="40"/>
      <c r="F834" s="40"/>
      <c r="G834" s="40"/>
      <c r="H834" s="40"/>
      <c r="I834" s="40"/>
      <c r="J834" s="40"/>
      <c r="K834" s="40"/>
      <c r="L834" s="40"/>
      <c r="M834" s="40"/>
      <c r="N834" s="40"/>
      <c r="O834" s="40"/>
      <c r="P834" s="40"/>
      <c r="Q834" s="40"/>
      <c r="R834" s="40"/>
      <c r="S834" s="40"/>
      <c r="T834" s="40"/>
      <c r="U834" s="40"/>
      <c r="V834" s="40"/>
      <c r="W834" s="40"/>
      <c r="X834" s="40"/>
      <c r="Y834" s="40"/>
      <c r="Z834" s="40"/>
      <c r="AA834" s="40"/>
      <c r="AB834" s="40"/>
      <c r="AC834" s="40"/>
      <c r="AD834" s="40"/>
      <c r="AE834" s="40"/>
      <c r="AF834" s="40"/>
      <c r="AG834" s="40"/>
      <c r="AH834" s="40"/>
      <c r="AI834" s="40"/>
      <c r="AJ834" s="40"/>
      <c r="AK834" s="40"/>
      <c r="AL834" s="40"/>
      <c r="AM834" s="40"/>
      <c r="AN834" s="40"/>
      <c r="AO834" s="40"/>
      <c r="AP834" s="40"/>
    </row>
    <row r="835" spans="2:42" x14ac:dyDescent="0.2">
      <c r="B835" s="40"/>
      <c r="C835" s="40"/>
      <c r="D835" s="40"/>
      <c r="E835" s="40"/>
      <c r="F835" s="40"/>
      <c r="G835" s="40"/>
      <c r="H835" s="40"/>
      <c r="I835" s="40"/>
      <c r="J835" s="40"/>
      <c r="K835" s="40"/>
      <c r="L835" s="40"/>
      <c r="M835" s="40"/>
      <c r="N835" s="40"/>
      <c r="O835" s="40"/>
      <c r="P835" s="40"/>
      <c r="Q835" s="40"/>
      <c r="R835" s="40"/>
      <c r="S835" s="40"/>
      <c r="T835" s="40"/>
      <c r="U835" s="40"/>
      <c r="V835" s="40"/>
      <c r="W835" s="40"/>
      <c r="X835" s="40"/>
      <c r="Y835" s="40"/>
      <c r="Z835" s="40"/>
      <c r="AA835" s="40"/>
      <c r="AB835" s="40"/>
      <c r="AC835" s="40"/>
      <c r="AD835" s="40"/>
      <c r="AE835" s="40"/>
      <c r="AF835" s="40"/>
      <c r="AG835" s="40"/>
      <c r="AH835" s="40"/>
      <c r="AI835" s="40"/>
      <c r="AJ835" s="40"/>
      <c r="AK835" s="40"/>
      <c r="AL835" s="40"/>
      <c r="AM835" s="40"/>
      <c r="AN835" s="40"/>
      <c r="AO835" s="40"/>
      <c r="AP835" s="40"/>
    </row>
    <row r="836" spans="2:42" x14ac:dyDescent="0.2">
      <c r="B836" s="40"/>
      <c r="C836" s="40"/>
      <c r="D836" s="40"/>
      <c r="E836" s="40"/>
      <c r="F836" s="40"/>
      <c r="G836" s="40"/>
      <c r="H836" s="40"/>
      <c r="I836" s="40"/>
      <c r="J836" s="40"/>
      <c r="K836" s="40"/>
      <c r="L836" s="40"/>
      <c r="M836" s="40"/>
      <c r="N836" s="40"/>
      <c r="O836" s="40"/>
      <c r="P836" s="40"/>
      <c r="Q836" s="40"/>
      <c r="R836" s="40"/>
      <c r="S836" s="40"/>
      <c r="T836" s="40"/>
      <c r="U836" s="40"/>
      <c r="V836" s="40"/>
      <c r="W836" s="40"/>
      <c r="X836" s="40"/>
      <c r="Y836" s="40"/>
      <c r="Z836" s="40"/>
      <c r="AA836" s="40"/>
      <c r="AB836" s="40"/>
      <c r="AC836" s="40"/>
      <c r="AD836" s="40"/>
      <c r="AE836" s="40"/>
      <c r="AF836" s="40"/>
      <c r="AG836" s="40"/>
      <c r="AH836" s="40"/>
      <c r="AI836" s="40"/>
      <c r="AJ836" s="40"/>
      <c r="AK836" s="40"/>
      <c r="AL836" s="40"/>
      <c r="AM836" s="40"/>
      <c r="AN836" s="40"/>
      <c r="AO836" s="40"/>
      <c r="AP836" s="40"/>
    </row>
    <row r="837" spans="2:42" x14ac:dyDescent="0.2">
      <c r="B837" s="40"/>
      <c r="C837" s="40"/>
      <c r="D837" s="40"/>
      <c r="E837" s="40"/>
      <c r="F837" s="40"/>
      <c r="G837" s="40"/>
      <c r="H837" s="40"/>
      <c r="I837" s="40"/>
      <c r="J837" s="40"/>
      <c r="K837" s="40"/>
      <c r="L837" s="40"/>
      <c r="M837" s="40"/>
      <c r="N837" s="40"/>
      <c r="O837" s="40"/>
      <c r="P837" s="40"/>
      <c r="Q837" s="40"/>
      <c r="R837" s="40"/>
      <c r="S837" s="40"/>
      <c r="T837" s="40"/>
      <c r="U837" s="40"/>
      <c r="V837" s="40"/>
      <c r="W837" s="40"/>
      <c r="X837" s="40"/>
      <c r="Y837" s="40"/>
      <c r="Z837" s="40"/>
      <c r="AA837" s="40"/>
      <c r="AB837" s="40"/>
      <c r="AC837" s="40"/>
      <c r="AD837" s="40"/>
      <c r="AE837" s="40"/>
      <c r="AF837" s="40"/>
      <c r="AG837" s="40"/>
      <c r="AH837" s="40"/>
      <c r="AI837" s="40"/>
      <c r="AJ837" s="40"/>
      <c r="AK837" s="40"/>
      <c r="AL837" s="40"/>
      <c r="AM837" s="40"/>
      <c r="AN837" s="40"/>
      <c r="AO837" s="40"/>
      <c r="AP837" s="40"/>
    </row>
    <row r="838" spans="2:42" x14ac:dyDescent="0.2">
      <c r="B838" s="40"/>
      <c r="C838" s="40"/>
      <c r="D838" s="40"/>
      <c r="E838" s="40"/>
      <c r="F838" s="40"/>
      <c r="G838" s="40"/>
      <c r="H838" s="40"/>
      <c r="I838" s="40"/>
      <c r="J838" s="40"/>
      <c r="K838" s="40"/>
      <c r="L838" s="40"/>
      <c r="M838" s="40"/>
      <c r="N838" s="40"/>
      <c r="O838" s="40"/>
      <c r="P838" s="40"/>
      <c r="Q838" s="40"/>
      <c r="R838" s="40"/>
      <c r="S838" s="40"/>
      <c r="T838" s="40"/>
      <c r="U838" s="40"/>
      <c r="V838" s="40"/>
      <c r="W838" s="40"/>
      <c r="X838" s="40"/>
      <c r="Y838" s="40"/>
      <c r="Z838" s="40"/>
      <c r="AA838" s="40"/>
      <c r="AB838" s="40"/>
      <c r="AC838" s="40"/>
      <c r="AD838" s="40"/>
      <c r="AE838" s="40"/>
      <c r="AF838" s="40"/>
      <c r="AG838" s="40"/>
      <c r="AH838" s="40"/>
      <c r="AI838" s="40"/>
      <c r="AJ838" s="40"/>
      <c r="AK838" s="40"/>
      <c r="AL838" s="40"/>
      <c r="AM838" s="40"/>
      <c r="AN838" s="40"/>
      <c r="AO838" s="40"/>
      <c r="AP838" s="40"/>
    </row>
    <row r="839" spans="2:42" x14ac:dyDescent="0.2">
      <c r="B839" s="40"/>
      <c r="C839" s="40"/>
      <c r="D839" s="40"/>
      <c r="E839" s="40"/>
      <c r="F839" s="40"/>
      <c r="G839" s="40"/>
      <c r="H839" s="40"/>
      <c r="I839" s="40"/>
      <c r="J839" s="40"/>
      <c r="K839" s="40"/>
      <c r="L839" s="40"/>
      <c r="M839" s="40"/>
      <c r="N839" s="40"/>
      <c r="O839" s="40"/>
      <c r="P839" s="40"/>
      <c r="Q839" s="40"/>
      <c r="R839" s="40"/>
      <c r="S839" s="40"/>
      <c r="T839" s="40"/>
      <c r="U839" s="40"/>
      <c r="V839" s="40"/>
      <c r="W839" s="40"/>
      <c r="X839" s="40"/>
      <c r="Y839" s="40"/>
      <c r="Z839" s="40"/>
      <c r="AA839" s="40"/>
      <c r="AB839" s="40"/>
      <c r="AC839" s="40"/>
      <c r="AD839" s="40"/>
      <c r="AE839" s="40"/>
      <c r="AF839" s="40"/>
      <c r="AG839" s="40"/>
      <c r="AH839" s="40"/>
      <c r="AI839" s="40"/>
      <c r="AJ839" s="40"/>
      <c r="AK839" s="40"/>
      <c r="AL839" s="40"/>
      <c r="AM839" s="40"/>
      <c r="AN839" s="40"/>
      <c r="AO839" s="40"/>
      <c r="AP839" s="40"/>
    </row>
    <row r="840" spans="2:42" x14ac:dyDescent="0.2">
      <c r="B840" s="40"/>
      <c r="C840" s="40"/>
      <c r="D840" s="40"/>
      <c r="E840" s="40"/>
      <c r="F840" s="40"/>
      <c r="G840" s="40"/>
      <c r="H840" s="40"/>
      <c r="I840" s="40"/>
      <c r="J840" s="40"/>
      <c r="K840" s="40"/>
      <c r="L840" s="40"/>
      <c r="M840" s="40"/>
      <c r="N840" s="40"/>
      <c r="O840" s="40"/>
      <c r="P840" s="40"/>
      <c r="Q840" s="40"/>
      <c r="R840" s="40"/>
      <c r="S840" s="40"/>
      <c r="T840" s="40"/>
      <c r="U840" s="40"/>
      <c r="V840" s="40"/>
      <c r="W840" s="40"/>
      <c r="X840" s="40"/>
      <c r="Y840" s="40"/>
      <c r="Z840" s="40"/>
      <c r="AA840" s="40"/>
      <c r="AB840" s="40"/>
      <c r="AC840" s="40"/>
      <c r="AD840" s="40"/>
      <c r="AE840" s="40"/>
      <c r="AF840" s="40"/>
      <c r="AG840" s="40"/>
      <c r="AH840" s="40"/>
      <c r="AI840" s="40"/>
      <c r="AJ840" s="40"/>
      <c r="AK840" s="40"/>
      <c r="AL840" s="40"/>
      <c r="AM840" s="40"/>
      <c r="AN840" s="40"/>
      <c r="AO840" s="40"/>
      <c r="AP840" s="40"/>
    </row>
    <row r="841" spans="2:42" x14ac:dyDescent="0.2">
      <c r="B841" s="40"/>
      <c r="C841" s="40"/>
      <c r="D841" s="40"/>
      <c r="E841" s="40"/>
      <c r="F841" s="40"/>
      <c r="G841" s="40"/>
      <c r="H841" s="40"/>
      <c r="I841" s="40"/>
      <c r="J841" s="40"/>
      <c r="K841" s="40"/>
      <c r="L841" s="40"/>
      <c r="M841" s="40"/>
      <c r="N841" s="40"/>
      <c r="O841" s="40"/>
      <c r="P841" s="40"/>
      <c r="Q841" s="40"/>
      <c r="R841" s="40"/>
      <c r="S841" s="40"/>
      <c r="T841" s="40"/>
      <c r="U841" s="40"/>
      <c r="V841" s="40"/>
      <c r="W841" s="40"/>
      <c r="X841" s="40"/>
      <c r="Y841" s="40"/>
      <c r="Z841" s="40"/>
      <c r="AA841" s="40"/>
      <c r="AB841" s="40"/>
      <c r="AC841" s="40"/>
      <c r="AD841" s="40"/>
      <c r="AE841" s="40"/>
      <c r="AF841" s="40"/>
      <c r="AG841" s="40"/>
      <c r="AH841" s="40"/>
      <c r="AI841" s="40"/>
      <c r="AJ841" s="40"/>
      <c r="AK841" s="40"/>
      <c r="AL841" s="40"/>
      <c r="AM841" s="40"/>
      <c r="AN841" s="40"/>
      <c r="AO841" s="40"/>
      <c r="AP841" s="40"/>
    </row>
    <row r="842" spans="2:42" x14ac:dyDescent="0.2">
      <c r="B842" s="40"/>
      <c r="C842" s="40"/>
      <c r="D842" s="40"/>
      <c r="E842" s="40"/>
      <c r="F842" s="40"/>
      <c r="G842" s="40"/>
      <c r="H842" s="40"/>
      <c r="I842" s="40"/>
      <c r="J842" s="40"/>
      <c r="K842" s="40"/>
      <c r="L842" s="40"/>
      <c r="M842" s="40"/>
      <c r="N842" s="40"/>
      <c r="O842" s="40"/>
      <c r="P842" s="40"/>
      <c r="Q842" s="40"/>
      <c r="R842" s="40"/>
      <c r="S842" s="40"/>
      <c r="T842" s="40"/>
      <c r="U842" s="40"/>
      <c r="V842" s="40"/>
      <c r="W842" s="40"/>
      <c r="X842" s="40"/>
      <c r="Y842" s="40"/>
      <c r="Z842" s="40"/>
      <c r="AA842" s="40"/>
      <c r="AB842" s="40"/>
      <c r="AC842" s="40"/>
      <c r="AD842" s="40"/>
      <c r="AE842" s="40"/>
      <c r="AF842" s="40"/>
      <c r="AG842" s="40"/>
      <c r="AH842" s="40"/>
      <c r="AI842" s="40"/>
      <c r="AJ842" s="40"/>
      <c r="AK842" s="40"/>
      <c r="AL842" s="40"/>
      <c r="AM842" s="40"/>
      <c r="AN842" s="40"/>
      <c r="AO842" s="40"/>
      <c r="AP842" s="40"/>
    </row>
    <row r="843" spans="2:42" x14ac:dyDescent="0.2">
      <c r="B843" s="40"/>
      <c r="C843" s="40"/>
      <c r="D843" s="40"/>
      <c r="E843" s="40"/>
      <c r="F843" s="40"/>
      <c r="G843" s="40"/>
      <c r="H843" s="40"/>
      <c r="I843" s="40"/>
      <c r="J843" s="40"/>
      <c r="K843" s="40"/>
      <c r="L843" s="40"/>
      <c r="M843" s="40"/>
      <c r="N843" s="40"/>
      <c r="O843" s="40"/>
      <c r="P843" s="40"/>
      <c r="Q843" s="40"/>
      <c r="R843" s="40"/>
      <c r="S843" s="40"/>
      <c r="T843" s="40"/>
      <c r="U843" s="40"/>
      <c r="V843" s="40"/>
      <c r="W843" s="40"/>
      <c r="X843" s="40"/>
      <c r="Y843" s="40"/>
      <c r="Z843" s="40"/>
      <c r="AA843" s="40"/>
      <c r="AB843" s="40"/>
      <c r="AC843" s="40"/>
      <c r="AD843" s="40"/>
      <c r="AE843" s="40"/>
      <c r="AF843" s="40"/>
      <c r="AG843" s="40"/>
      <c r="AH843" s="40"/>
      <c r="AI843" s="40"/>
      <c r="AJ843" s="40"/>
      <c r="AK843" s="40"/>
      <c r="AL843" s="40"/>
      <c r="AM843" s="40"/>
      <c r="AN843" s="40"/>
      <c r="AO843" s="40"/>
      <c r="AP843" s="40"/>
    </row>
    <row r="844" spans="2:42" x14ac:dyDescent="0.2">
      <c r="B844" s="40"/>
      <c r="C844" s="40"/>
      <c r="D844" s="40"/>
      <c r="E844" s="40"/>
      <c r="F844" s="40"/>
      <c r="G844" s="40"/>
      <c r="H844" s="40"/>
      <c r="I844" s="40"/>
      <c r="J844" s="40"/>
      <c r="K844" s="40"/>
      <c r="L844" s="40"/>
      <c r="M844" s="40"/>
      <c r="N844" s="40"/>
      <c r="O844" s="40"/>
      <c r="P844" s="40"/>
      <c r="Q844" s="40"/>
      <c r="R844" s="40"/>
      <c r="S844" s="40"/>
      <c r="T844" s="40"/>
      <c r="U844" s="40"/>
      <c r="V844" s="40"/>
      <c r="W844" s="40"/>
      <c r="X844" s="40"/>
      <c r="Y844" s="40"/>
      <c r="Z844" s="40"/>
      <c r="AA844" s="40"/>
      <c r="AB844" s="40"/>
      <c r="AC844" s="40"/>
      <c r="AD844" s="40"/>
      <c r="AE844" s="40"/>
      <c r="AF844" s="40"/>
      <c r="AG844" s="40"/>
      <c r="AH844" s="40"/>
      <c r="AI844" s="40"/>
      <c r="AJ844" s="40"/>
      <c r="AK844" s="40"/>
      <c r="AL844" s="40"/>
      <c r="AM844" s="40"/>
      <c r="AN844" s="40"/>
      <c r="AO844" s="40"/>
      <c r="AP844" s="40"/>
    </row>
    <row r="845" spans="2:42" x14ac:dyDescent="0.2">
      <c r="B845" s="40"/>
      <c r="C845" s="40"/>
      <c r="D845" s="40"/>
      <c r="E845" s="40"/>
      <c r="F845" s="40"/>
      <c r="G845" s="40"/>
      <c r="H845" s="40"/>
      <c r="I845" s="40"/>
      <c r="J845" s="40"/>
      <c r="K845" s="40"/>
      <c r="L845" s="40"/>
      <c r="M845" s="40"/>
      <c r="N845" s="40"/>
      <c r="O845" s="40"/>
      <c r="P845" s="40"/>
      <c r="Q845" s="40"/>
      <c r="R845" s="40"/>
      <c r="S845" s="40"/>
      <c r="T845" s="40"/>
      <c r="U845" s="40"/>
      <c r="V845" s="40"/>
      <c r="W845" s="40"/>
      <c r="X845" s="40"/>
      <c r="Y845" s="40"/>
      <c r="Z845" s="40"/>
      <c r="AA845" s="40"/>
      <c r="AB845" s="40"/>
      <c r="AC845" s="40"/>
      <c r="AD845" s="40"/>
      <c r="AE845" s="40"/>
      <c r="AF845" s="40"/>
      <c r="AG845" s="40"/>
      <c r="AH845" s="40"/>
      <c r="AI845" s="40"/>
      <c r="AJ845" s="40"/>
      <c r="AK845" s="40"/>
      <c r="AL845" s="40"/>
      <c r="AM845" s="40"/>
      <c r="AN845" s="40"/>
      <c r="AO845" s="40"/>
      <c r="AP845" s="40"/>
    </row>
    <row r="846" spans="2:42" x14ac:dyDescent="0.2">
      <c r="B846" s="40"/>
      <c r="C846" s="40"/>
      <c r="D846" s="40"/>
      <c r="E846" s="40"/>
      <c r="F846" s="40"/>
      <c r="G846" s="40"/>
      <c r="H846" s="40"/>
      <c r="I846" s="40"/>
      <c r="J846" s="40"/>
      <c r="K846" s="40"/>
      <c r="L846" s="40"/>
      <c r="M846" s="40"/>
      <c r="N846" s="40"/>
      <c r="O846" s="40"/>
      <c r="P846" s="40"/>
      <c r="Q846" s="40"/>
      <c r="R846" s="40"/>
      <c r="S846" s="40"/>
      <c r="T846" s="40"/>
      <c r="U846" s="40"/>
      <c r="V846" s="40"/>
      <c r="W846" s="40"/>
      <c r="X846" s="40"/>
      <c r="Y846" s="40"/>
      <c r="Z846" s="40"/>
      <c r="AA846" s="40"/>
      <c r="AB846" s="40"/>
      <c r="AC846" s="40"/>
      <c r="AD846" s="40"/>
      <c r="AE846" s="40"/>
      <c r="AF846" s="40"/>
      <c r="AG846" s="40"/>
      <c r="AH846" s="40"/>
      <c r="AI846" s="40"/>
      <c r="AJ846" s="40"/>
      <c r="AK846" s="40"/>
      <c r="AL846" s="40"/>
      <c r="AM846" s="40"/>
      <c r="AN846" s="40"/>
      <c r="AO846" s="40"/>
      <c r="AP846" s="40"/>
    </row>
    <row r="847" spans="2:42" x14ac:dyDescent="0.2">
      <c r="B847" s="40"/>
      <c r="C847" s="40"/>
      <c r="D847" s="40"/>
      <c r="E847" s="40"/>
      <c r="F847" s="40"/>
      <c r="G847" s="40"/>
      <c r="H847" s="40"/>
      <c r="I847" s="40"/>
      <c r="J847" s="40"/>
      <c r="K847" s="40"/>
      <c r="L847" s="40"/>
      <c r="M847" s="40"/>
      <c r="N847" s="40"/>
      <c r="O847" s="40"/>
      <c r="P847" s="40"/>
      <c r="Q847" s="40"/>
      <c r="R847" s="40"/>
      <c r="S847" s="40"/>
      <c r="T847" s="40"/>
      <c r="U847" s="40"/>
      <c r="V847" s="40"/>
      <c r="W847" s="40"/>
      <c r="X847" s="40"/>
      <c r="Y847" s="40"/>
      <c r="Z847" s="40"/>
      <c r="AA847" s="40"/>
      <c r="AB847" s="40"/>
      <c r="AC847" s="40"/>
      <c r="AD847" s="40"/>
      <c r="AE847" s="40"/>
      <c r="AF847" s="40"/>
      <c r="AG847" s="40"/>
      <c r="AH847" s="40"/>
      <c r="AI847" s="40"/>
      <c r="AJ847" s="40"/>
      <c r="AK847" s="40"/>
      <c r="AL847" s="40"/>
      <c r="AM847" s="40"/>
      <c r="AN847" s="40"/>
      <c r="AO847" s="40"/>
      <c r="AP847" s="40"/>
    </row>
    <row r="848" spans="2:42" x14ac:dyDescent="0.2">
      <c r="B848" s="40"/>
      <c r="C848" s="40"/>
      <c r="D848" s="40"/>
      <c r="E848" s="40"/>
      <c r="F848" s="40"/>
      <c r="G848" s="40"/>
      <c r="H848" s="40"/>
      <c r="I848" s="40"/>
      <c r="J848" s="40"/>
      <c r="K848" s="40"/>
      <c r="L848" s="40"/>
      <c r="M848" s="40"/>
      <c r="N848" s="40"/>
      <c r="O848" s="40"/>
      <c r="P848" s="40"/>
      <c r="Q848" s="40"/>
      <c r="R848" s="40"/>
      <c r="S848" s="40"/>
      <c r="T848" s="40"/>
      <c r="U848" s="40"/>
      <c r="V848" s="40"/>
      <c r="W848" s="40"/>
      <c r="X848" s="40"/>
      <c r="Y848" s="40"/>
      <c r="Z848" s="40"/>
      <c r="AA848" s="40"/>
      <c r="AB848" s="40"/>
      <c r="AC848" s="40"/>
      <c r="AD848" s="40"/>
      <c r="AE848" s="40"/>
      <c r="AF848" s="40"/>
      <c r="AG848" s="40"/>
      <c r="AH848" s="40"/>
      <c r="AI848" s="40"/>
      <c r="AJ848" s="40"/>
      <c r="AK848" s="40"/>
      <c r="AL848" s="40"/>
      <c r="AM848" s="40"/>
      <c r="AN848" s="40"/>
      <c r="AO848" s="40"/>
      <c r="AP848" s="40"/>
    </row>
    <row r="849" spans="2:42" x14ac:dyDescent="0.2">
      <c r="B849" s="40"/>
      <c r="C849" s="40"/>
      <c r="D849" s="40"/>
      <c r="E849" s="40"/>
      <c r="F849" s="40"/>
      <c r="G849" s="40"/>
      <c r="H849" s="40"/>
      <c r="I849" s="40"/>
      <c r="J849" s="40"/>
      <c r="K849" s="40"/>
      <c r="L849" s="40"/>
      <c r="M849" s="40"/>
      <c r="N849" s="40"/>
      <c r="O849" s="40"/>
      <c r="P849" s="40"/>
      <c r="Q849" s="40"/>
      <c r="R849" s="40"/>
      <c r="S849" s="40"/>
      <c r="T849" s="40"/>
      <c r="U849" s="40"/>
      <c r="V849" s="40"/>
      <c r="W849" s="40"/>
      <c r="X849" s="40"/>
      <c r="Y849" s="40"/>
      <c r="Z849" s="40"/>
      <c r="AA849" s="40"/>
      <c r="AB849" s="40"/>
      <c r="AC849" s="40"/>
      <c r="AD849" s="40"/>
      <c r="AE849" s="40"/>
      <c r="AF849" s="40"/>
      <c r="AG849" s="40"/>
      <c r="AH849" s="40"/>
      <c r="AI849" s="40"/>
      <c r="AJ849" s="40"/>
      <c r="AK849" s="40"/>
      <c r="AL849" s="40"/>
      <c r="AM849" s="40"/>
      <c r="AN849" s="40"/>
      <c r="AO849" s="40"/>
      <c r="AP849" s="40"/>
    </row>
    <row r="850" spans="2:42" x14ac:dyDescent="0.2">
      <c r="B850" s="40"/>
      <c r="C850" s="40"/>
      <c r="D850" s="40"/>
      <c r="E850" s="40"/>
      <c r="F850" s="40"/>
      <c r="G850" s="40"/>
      <c r="H850" s="40"/>
      <c r="I850" s="40"/>
      <c r="J850" s="40"/>
      <c r="K850" s="40"/>
      <c r="L850" s="40"/>
      <c r="M850" s="40"/>
      <c r="N850" s="40"/>
      <c r="O850" s="40"/>
      <c r="P850" s="40"/>
      <c r="Q850" s="40"/>
      <c r="R850" s="40"/>
      <c r="S850" s="40"/>
      <c r="T850" s="40"/>
      <c r="U850" s="40"/>
      <c r="V850" s="40"/>
      <c r="W850" s="40"/>
      <c r="X850" s="40"/>
      <c r="Y850" s="40"/>
      <c r="Z850" s="40"/>
      <c r="AA850" s="40"/>
      <c r="AB850" s="40"/>
      <c r="AC850" s="40"/>
      <c r="AD850" s="40"/>
      <c r="AE850" s="40"/>
      <c r="AF850" s="40"/>
      <c r="AG850" s="40"/>
      <c r="AH850" s="40"/>
      <c r="AI850" s="40"/>
      <c r="AJ850" s="40"/>
      <c r="AK850" s="40"/>
      <c r="AL850" s="40"/>
      <c r="AM850" s="40"/>
      <c r="AN850" s="40"/>
      <c r="AO850" s="40"/>
      <c r="AP850" s="40"/>
    </row>
    <row r="851" spans="2:42" x14ac:dyDescent="0.2">
      <c r="B851" s="40"/>
      <c r="C851" s="40"/>
      <c r="D851" s="40"/>
      <c r="E851" s="40"/>
      <c r="F851" s="40"/>
      <c r="G851" s="40"/>
      <c r="H851" s="40"/>
      <c r="I851" s="40"/>
      <c r="J851" s="40"/>
      <c r="K851" s="40"/>
      <c r="L851" s="40"/>
      <c r="M851" s="40"/>
      <c r="N851" s="40"/>
      <c r="O851" s="40"/>
      <c r="P851" s="40"/>
      <c r="Q851" s="40"/>
      <c r="R851" s="40"/>
      <c r="S851" s="40"/>
      <c r="T851" s="40"/>
      <c r="U851" s="40"/>
      <c r="V851" s="40"/>
      <c r="W851" s="40"/>
      <c r="X851" s="40"/>
      <c r="Y851" s="40"/>
      <c r="Z851" s="40"/>
      <c r="AA851" s="40"/>
      <c r="AB851" s="40"/>
      <c r="AC851" s="40"/>
      <c r="AD851" s="40"/>
      <c r="AE851" s="40"/>
      <c r="AF851" s="40"/>
      <c r="AG851" s="40"/>
      <c r="AH851" s="40"/>
      <c r="AI851" s="40"/>
      <c r="AJ851" s="40"/>
      <c r="AK851" s="40"/>
      <c r="AL851" s="40"/>
      <c r="AM851" s="40"/>
      <c r="AN851" s="40"/>
      <c r="AO851" s="40"/>
      <c r="AP851" s="40"/>
    </row>
    <row r="852" spans="2:42" x14ac:dyDescent="0.2">
      <c r="B852" s="40"/>
      <c r="C852" s="40"/>
      <c r="D852" s="40"/>
      <c r="E852" s="40"/>
      <c r="F852" s="40"/>
      <c r="G852" s="40"/>
      <c r="H852" s="40"/>
      <c r="I852" s="40"/>
      <c r="J852" s="40"/>
      <c r="K852" s="40"/>
      <c r="L852" s="40"/>
      <c r="M852" s="40"/>
      <c r="N852" s="40"/>
      <c r="O852" s="40"/>
      <c r="P852" s="40"/>
      <c r="Q852" s="40"/>
      <c r="R852" s="40"/>
      <c r="S852" s="40"/>
      <c r="T852" s="40"/>
      <c r="U852" s="40"/>
      <c r="V852" s="40"/>
      <c r="W852" s="40"/>
      <c r="X852" s="40"/>
      <c r="Y852" s="40"/>
      <c r="Z852" s="40"/>
      <c r="AA852" s="40"/>
      <c r="AB852" s="40"/>
      <c r="AC852" s="40"/>
      <c r="AD852" s="40"/>
      <c r="AE852" s="40"/>
      <c r="AF852" s="40"/>
      <c r="AG852" s="40"/>
      <c r="AH852" s="40"/>
      <c r="AI852" s="40"/>
      <c r="AJ852" s="40"/>
      <c r="AK852" s="40"/>
      <c r="AL852" s="40"/>
      <c r="AM852" s="40"/>
      <c r="AN852" s="40"/>
      <c r="AO852" s="40"/>
      <c r="AP852" s="40"/>
    </row>
    <row r="853" spans="2:42" x14ac:dyDescent="0.2">
      <c r="B853" s="40"/>
      <c r="C853" s="40"/>
      <c r="D853" s="40"/>
      <c r="E853" s="40"/>
      <c r="F853" s="40"/>
      <c r="G853" s="40"/>
      <c r="H853" s="40"/>
      <c r="I853" s="40"/>
      <c r="J853" s="40"/>
      <c r="K853" s="40"/>
      <c r="L853" s="40"/>
      <c r="M853" s="40"/>
      <c r="N853" s="40"/>
      <c r="O853" s="40"/>
      <c r="P853" s="40"/>
      <c r="Q853" s="40"/>
      <c r="R853" s="40"/>
      <c r="S853" s="40"/>
      <c r="T853" s="40"/>
      <c r="U853" s="40"/>
      <c r="V853" s="40"/>
      <c r="W853" s="40"/>
      <c r="X853" s="40"/>
      <c r="Y853" s="40"/>
      <c r="Z853" s="40"/>
      <c r="AA853" s="40"/>
      <c r="AB853" s="40"/>
      <c r="AC853" s="40"/>
      <c r="AD853" s="40"/>
      <c r="AE853" s="40"/>
      <c r="AF853" s="40"/>
      <c r="AG853" s="40"/>
      <c r="AH853" s="40"/>
      <c r="AI853" s="40"/>
      <c r="AJ853" s="40"/>
      <c r="AK853" s="40"/>
      <c r="AL853" s="40"/>
      <c r="AM853" s="40"/>
      <c r="AN853" s="40"/>
      <c r="AO853" s="40"/>
      <c r="AP853" s="40"/>
    </row>
    <row r="854" spans="2:42" x14ac:dyDescent="0.2">
      <c r="B854" s="40"/>
      <c r="C854" s="40"/>
      <c r="D854" s="40"/>
      <c r="E854" s="40"/>
      <c r="F854" s="40"/>
      <c r="G854" s="40"/>
      <c r="H854" s="40"/>
      <c r="I854" s="40"/>
      <c r="J854" s="40"/>
      <c r="K854" s="40"/>
      <c r="L854" s="40"/>
      <c r="M854" s="40"/>
      <c r="N854" s="40"/>
      <c r="O854" s="40"/>
      <c r="P854" s="40"/>
      <c r="Q854" s="40"/>
      <c r="R854" s="40"/>
      <c r="S854" s="40"/>
      <c r="T854" s="40"/>
      <c r="U854" s="40"/>
      <c r="V854" s="40"/>
      <c r="W854" s="40"/>
      <c r="X854" s="40"/>
      <c r="Y854" s="40"/>
      <c r="Z854" s="40"/>
      <c r="AA854" s="40"/>
      <c r="AB854" s="40"/>
      <c r="AC854" s="40"/>
      <c r="AD854" s="40"/>
      <c r="AE854" s="40"/>
      <c r="AF854" s="40"/>
      <c r="AG854" s="40"/>
      <c r="AH854" s="40"/>
      <c r="AI854" s="40"/>
      <c r="AJ854" s="40"/>
      <c r="AK854" s="40"/>
      <c r="AL854" s="40"/>
      <c r="AM854" s="40"/>
      <c r="AN854" s="40"/>
      <c r="AO854" s="40"/>
      <c r="AP854" s="40"/>
    </row>
    <row r="855" spans="2:42" x14ac:dyDescent="0.2">
      <c r="B855" s="40"/>
      <c r="C855" s="40"/>
      <c r="D855" s="40"/>
      <c r="E855" s="40"/>
      <c r="F855" s="40"/>
      <c r="G855" s="40"/>
      <c r="H855" s="40"/>
      <c r="I855" s="40"/>
      <c r="J855" s="40"/>
      <c r="K855" s="40"/>
      <c r="L855" s="40"/>
      <c r="M855" s="40"/>
      <c r="N855" s="40"/>
      <c r="O855" s="40"/>
      <c r="P855" s="40"/>
      <c r="Q855" s="40"/>
      <c r="R855" s="40"/>
      <c r="S855" s="40"/>
      <c r="T855" s="40"/>
      <c r="U855" s="40"/>
      <c r="V855" s="40"/>
      <c r="W855" s="40"/>
      <c r="X855" s="40"/>
      <c r="Y855" s="40"/>
      <c r="Z855" s="40"/>
      <c r="AA855" s="40"/>
      <c r="AB855" s="40"/>
      <c r="AC855" s="40"/>
      <c r="AD855" s="40"/>
      <c r="AE855" s="40"/>
      <c r="AF855" s="40"/>
      <c r="AG855" s="40"/>
      <c r="AH855" s="40"/>
      <c r="AI855" s="40"/>
      <c r="AJ855" s="40"/>
      <c r="AK855" s="40"/>
      <c r="AL855" s="40"/>
      <c r="AM855" s="40"/>
      <c r="AN855" s="40"/>
      <c r="AO855" s="40"/>
      <c r="AP855" s="40"/>
    </row>
    <row r="856" spans="2:42" x14ac:dyDescent="0.2">
      <c r="B856" s="40"/>
      <c r="C856" s="40"/>
      <c r="D856" s="40"/>
      <c r="E856" s="40"/>
      <c r="F856" s="40"/>
      <c r="G856" s="40"/>
      <c r="H856" s="40"/>
      <c r="I856" s="40"/>
      <c r="J856" s="40"/>
      <c r="K856" s="40"/>
      <c r="L856" s="40"/>
      <c r="M856" s="40"/>
      <c r="N856" s="40"/>
      <c r="O856" s="40"/>
      <c r="P856" s="40"/>
      <c r="Q856" s="40"/>
      <c r="R856" s="40"/>
      <c r="S856" s="40"/>
      <c r="T856" s="40"/>
      <c r="U856" s="40"/>
      <c r="V856" s="40"/>
      <c r="W856" s="40"/>
      <c r="X856" s="40"/>
      <c r="Y856" s="40"/>
      <c r="Z856" s="40"/>
      <c r="AA856" s="40"/>
      <c r="AB856" s="40"/>
      <c r="AC856" s="40"/>
      <c r="AD856" s="40"/>
      <c r="AE856" s="40"/>
      <c r="AF856" s="40"/>
      <c r="AG856" s="40"/>
      <c r="AH856" s="40"/>
      <c r="AI856" s="40"/>
      <c r="AJ856" s="40"/>
      <c r="AK856" s="40"/>
      <c r="AL856" s="40"/>
      <c r="AM856" s="40"/>
      <c r="AN856" s="40"/>
      <c r="AO856" s="40"/>
      <c r="AP856" s="40"/>
    </row>
    <row r="857" spans="2:42" x14ac:dyDescent="0.2">
      <c r="B857" s="40"/>
      <c r="C857" s="40"/>
      <c r="D857" s="40"/>
      <c r="E857" s="40"/>
      <c r="F857" s="40"/>
      <c r="G857" s="40"/>
      <c r="H857" s="40"/>
      <c r="I857" s="40"/>
      <c r="J857" s="40"/>
      <c r="K857" s="40"/>
      <c r="L857" s="40"/>
      <c r="M857" s="40"/>
      <c r="N857" s="40"/>
      <c r="O857" s="40"/>
      <c r="P857" s="40"/>
      <c r="Q857" s="40"/>
      <c r="R857" s="40"/>
      <c r="S857" s="40"/>
      <c r="T857" s="40"/>
      <c r="U857" s="40"/>
      <c r="V857" s="40"/>
      <c r="W857" s="40"/>
      <c r="X857" s="40"/>
      <c r="Y857" s="40"/>
      <c r="Z857" s="40"/>
      <c r="AA857" s="40"/>
      <c r="AB857" s="40"/>
      <c r="AC857" s="40"/>
      <c r="AD857" s="40"/>
      <c r="AE857" s="40"/>
      <c r="AF857" s="40"/>
      <c r="AG857" s="40"/>
      <c r="AH857" s="40"/>
      <c r="AI857" s="40"/>
      <c r="AJ857" s="40"/>
      <c r="AK857" s="40"/>
      <c r="AL857" s="40"/>
      <c r="AM857" s="40"/>
      <c r="AN857" s="40"/>
      <c r="AO857" s="40"/>
      <c r="AP857" s="40"/>
    </row>
    <row r="858" spans="2:42" x14ac:dyDescent="0.2">
      <c r="B858" s="40"/>
      <c r="C858" s="40"/>
      <c r="D858" s="40"/>
      <c r="E858" s="40"/>
      <c r="F858" s="40"/>
      <c r="G858" s="40"/>
      <c r="H858" s="40"/>
      <c r="I858" s="40"/>
      <c r="J858" s="40"/>
      <c r="K858" s="40"/>
      <c r="L858" s="40"/>
      <c r="M858" s="40"/>
      <c r="N858" s="40"/>
      <c r="O858" s="40"/>
      <c r="P858" s="40"/>
      <c r="Q858" s="40"/>
      <c r="R858" s="40"/>
      <c r="S858" s="40"/>
      <c r="T858" s="40"/>
      <c r="U858" s="40"/>
      <c r="V858" s="40"/>
      <c r="W858" s="40"/>
      <c r="X858" s="40"/>
      <c r="Y858" s="40"/>
      <c r="Z858" s="40"/>
      <c r="AA858" s="40"/>
      <c r="AB858" s="40"/>
      <c r="AC858" s="40"/>
      <c r="AD858" s="40"/>
      <c r="AE858" s="40"/>
      <c r="AF858" s="40"/>
      <c r="AG858" s="40"/>
      <c r="AH858" s="40"/>
      <c r="AI858" s="40"/>
      <c r="AJ858" s="40"/>
      <c r="AK858" s="40"/>
      <c r="AL858" s="40"/>
      <c r="AM858" s="40"/>
      <c r="AN858" s="40"/>
      <c r="AO858" s="40"/>
      <c r="AP858" s="40"/>
    </row>
    <row r="859" spans="2:42" x14ac:dyDescent="0.2">
      <c r="B859" s="40"/>
      <c r="C859" s="40"/>
      <c r="D859" s="40"/>
      <c r="E859" s="40"/>
      <c r="F859" s="40"/>
      <c r="G859" s="40"/>
      <c r="H859" s="40"/>
      <c r="I859" s="40"/>
      <c r="J859" s="40"/>
      <c r="K859" s="40"/>
      <c r="L859" s="40"/>
      <c r="M859" s="40"/>
      <c r="N859" s="40"/>
      <c r="O859" s="40"/>
      <c r="P859" s="40"/>
      <c r="Q859" s="40"/>
      <c r="R859" s="40"/>
      <c r="S859" s="40"/>
      <c r="T859" s="40"/>
      <c r="U859" s="40"/>
      <c r="V859" s="40"/>
      <c r="W859" s="40"/>
      <c r="X859" s="40"/>
      <c r="Y859" s="40"/>
      <c r="Z859" s="40"/>
      <c r="AA859" s="40"/>
      <c r="AB859" s="40"/>
      <c r="AC859" s="40"/>
      <c r="AD859" s="40"/>
      <c r="AE859" s="40"/>
      <c r="AF859" s="40"/>
      <c r="AG859" s="40"/>
      <c r="AH859" s="40"/>
      <c r="AI859" s="40"/>
      <c r="AJ859" s="40"/>
      <c r="AK859" s="40"/>
      <c r="AL859" s="40"/>
      <c r="AM859" s="40"/>
      <c r="AN859" s="40"/>
      <c r="AO859" s="40"/>
      <c r="AP859" s="40"/>
    </row>
    <row r="860" spans="2:42" x14ac:dyDescent="0.2">
      <c r="B860" s="40"/>
      <c r="C860" s="40"/>
      <c r="D860" s="40"/>
      <c r="E860" s="40"/>
      <c r="F860" s="40"/>
      <c r="G860" s="40"/>
      <c r="H860" s="40"/>
      <c r="I860" s="40"/>
      <c r="J860" s="40"/>
      <c r="K860" s="40"/>
      <c r="L860" s="40"/>
      <c r="M860" s="40"/>
      <c r="N860" s="40"/>
      <c r="O860" s="40"/>
      <c r="P860" s="40"/>
      <c r="Q860" s="40"/>
      <c r="R860" s="40"/>
      <c r="S860" s="40"/>
      <c r="T860" s="40"/>
      <c r="U860" s="40"/>
      <c r="V860" s="40"/>
      <c r="W860" s="40"/>
      <c r="X860" s="40"/>
      <c r="Y860" s="40"/>
      <c r="Z860" s="40"/>
      <c r="AA860" s="40"/>
      <c r="AB860" s="40"/>
      <c r="AC860" s="40"/>
      <c r="AD860" s="40"/>
      <c r="AE860" s="40"/>
      <c r="AF860" s="40"/>
      <c r="AG860" s="40"/>
      <c r="AH860" s="40"/>
      <c r="AI860" s="40"/>
      <c r="AJ860" s="40"/>
      <c r="AK860" s="40"/>
      <c r="AL860" s="40"/>
      <c r="AM860" s="40"/>
      <c r="AN860" s="40"/>
      <c r="AO860" s="40"/>
      <c r="AP860" s="40"/>
    </row>
    <row r="861" spans="2:42" x14ac:dyDescent="0.2">
      <c r="B861" s="40"/>
      <c r="C861" s="40"/>
      <c r="D861" s="40"/>
      <c r="E861" s="40"/>
      <c r="F861" s="40"/>
      <c r="G861" s="40"/>
      <c r="H861" s="40"/>
      <c r="I861" s="40"/>
      <c r="J861" s="40"/>
      <c r="K861" s="40"/>
      <c r="L861" s="40"/>
      <c r="M861" s="40"/>
      <c r="N861" s="40"/>
      <c r="O861" s="40"/>
      <c r="P861" s="40"/>
      <c r="Q861" s="40"/>
      <c r="R861" s="40"/>
      <c r="S861" s="40"/>
      <c r="T861" s="40"/>
      <c r="U861" s="40"/>
      <c r="V861" s="40"/>
      <c r="W861" s="40"/>
      <c r="X861" s="40"/>
      <c r="Y861" s="40"/>
      <c r="Z861" s="40"/>
      <c r="AA861" s="40"/>
      <c r="AB861" s="40"/>
      <c r="AC861" s="40"/>
      <c r="AD861" s="40"/>
      <c r="AE861" s="40"/>
      <c r="AF861" s="40"/>
      <c r="AG861" s="40"/>
      <c r="AH861" s="40"/>
      <c r="AI861" s="40"/>
      <c r="AJ861" s="40"/>
      <c r="AK861" s="40"/>
      <c r="AL861" s="40"/>
      <c r="AM861" s="40"/>
      <c r="AN861" s="40"/>
      <c r="AO861" s="40"/>
      <c r="AP861" s="40"/>
    </row>
    <row r="862" spans="2:42" x14ac:dyDescent="0.2">
      <c r="B862" s="40"/>
      <c r="C862" s="40"/>
      <c r="D862" s="40"/>
      <c r="E862" s="40"/>
      <c r="F862" s="40"/>
      <c r="G862" s="40"/>
      <c r="H862" s="40"/>
      <c r="I862" s="40"/>
      <c r="J862" s="40"/>
      <c r="K862" s="40"/>
      <c r="L862" s="40"/>
      <c r="M862" s="40"/>
      <c r="N862" s="40"/>
      <c r="O862" s="40"/>
      <c r="P862" s="40"/>
      <c r="Q862" s="40"/>
      <c r="R862" s="40"/>
      <c r="S862" s="40"/>
      <c r="T862" s="40"/>
      <c r="U862" s="40"/>
      <c r="V862" s="40"/>
      <c r="W862" s="40"/>
      <c r="X862" s="40"/>
      <c r="Y862" s="40"/>
      <c r="Z862" s="40"/>
      <c r="AA862" s="40"/>
      <c r="AB862" s="40"/>
      <c r="AC862" s="40"/>
      <c r="AD862" s="40"/>
      <c r="AE862" s="40"/>
      <c r="AF862" s="40"/>
      <c r="AG862" s="40"/>
      <c r="AH862" s="40"/>
      <c r="AI862" s="40"/>
      <c r="AJ862" s="40"/>
      <c r="AK862" s="40"/>
      <c r="AL862" s="40"/>
      <c r="AM862" s="40"/>
      <c r="AN862" s="40"/>
      <c r="AO862" s="40"/>
      <c r="AP862" s="40"/>
    </row>
    <row r="863" spans="2:42" x14ac:dyDescent="0.2">
      <c r="B863" s="40"/>
      <c r="C863" s="40"/>
      <c r="D863" s="40"/>
      <c r="E863" s="40"/>
      <c r="F863" s="40"/>
      <c r="G863" s="40"/>
      <c r="H863" s="40"/>
      <c r="I863" s="40"/>
      <c r="J863" s="40"/>
      <c r="K863" s="40"/>
      <c r="L863" s="40"/>
      <c r="M863" s="40"/>
      <c r="N863" s="40"/>
      <c r="O863" s="40"/>
      <c r="P863" s="40"/>
      <c r="Q863" s="40"/>
      <c r="R863" s="40"/>
      <c r="S863" s="40"/>
      <c r="T863" s="40"/>
      <c r="U863" s="40"/>
      <c r="V863" s="40"/>
      <c r="W863" s="40"/>
      <c r="X863" s="40"/>
      <c r="Y863" s="40"/>
      <c r="Z863" s="40"/>
      <c r="AA863" s="40"/>
      <c r="AB863" s="40"/>
      <c r="AC863" s="40"/>
      <c r="AD863" s="40"/>
      <c r="AE863" s="40"/>
      <c r="AF863" s="40"/>
      <c r="AG863" s="40"/>
      <c r="AH863" s="40"/>
      <c r="AI863" s="40"/>
      <c r="AJ863" s="40"/>
      <c r="AK863" s="40"/>
      <c r="AL863" s="40"/>
      <c r="AM863" s="40"/>
      <c r="AN863" s="40"/>
      <c r="AO863" s="40"/>
      <c r="AP863" s="40"/>
    </row>
    <row r="864" spans="2:42" x14ac:dyDescent="0.2">
      <c r="B864" s="40"/>
      <c r="C864" s="40"/>
      <c r="D864" s="40"/>
      <c r="E864" s="40"/>
      <c r="F864" s="40"/>
      <c r="G864" s="40"/>
      <c r="H864" s="40"/>
      <c r="I864" s="40"/>
      <c r="J864" s="40"/>
      <c r="K864" s="40"/>
      <c r="L864" s="40"/>
      <c r="M864" s="40"/>
      <c r="N864" s="40"/>
      <c r="O864" s="40"/>
      <c r="P864" s="40"/>
      <c r="Q864" s="40"/>
      <c r="R864" s="40"/>
      <c r="S864" s="40"/>
      <c r="T864" s="40"/>
      <c r="U864" s="40"/>
      <c r="V864" s="40"/>
      <c r="W864" s="40"/>
      <c r="X864" s="40"/>
      <c r="Y864" s="40"/>
      <c r="Z864" s="40"/>
      <c r="AA864" s="40"/>
      <c r="AB864" s="40"/>
      <c r="AC864" s="40"/>
      <c r="AD864" s="40"/>
      <c r="AE864" s="40"/>
      <c r="AF864" s="40"/>
      <c r="AG864" s="40"/>
      <c r="AH864" s="40"/>
      <c r="AI864" s="40"/>
      <c r="AJ864" s="40"/>
      <c r="AK864" s="40"/>
      <c r="AL864" s="40"/>
      <c r="AM864" s="40"/>
      <c r="AN864" s="40"/>
      <c r="AO864" s="40"/>
      <c r="AP864" s="40"/>
    </row>
    <row r="865" spans="2:42" x14ac:dyDescent="0.2">
      <c r="B865" s="40"/>
      <c r="C865" s="40"/>
      <c r="D865" s="40"/>
      <c r="E865" s="40"/>
      <c r="F865" s="40"/>
      <c r="G865" s="40"/>
      <c r="H865" s="40"/>
      <c r="I865" s="40"/>
      <c r="J865" s="40"/>
      <c r="K865" s="40"/>
      <c r="L865" s="40"/>
      <c r="M865" s="40"/>
      <c r="N865" s="40"/>
      <c r="O865" s="40"/>
      <c r="P865" s="40"/>
      <c r="Q865" s="40"/>
      <c r="R865" s="40"/>
      <c r="S865" s="40"/>
      <c r="T865" s="40"/>
      <c r="U865" s="40"/>
      <c r="V865" s="40"/>
      <c r="W865" s="40"/>
      <c r="X865" s="40"/>
      <c r="Y865" s="40"/>
      <c r="Z865" s="40"/>
      <c r="AA865" s="40"/>
      <c r="AB865" s="40"/>
      <c r="AC865" s="40"/>
      <c r="AD865" s="40"/>
      <c r="AE865" s="40"/>
      <c r="AF865" s="40"/>
      <c r="AG865" s="40"/>
      <c r="AH865" s="40"/>
      <c r="AI865" s="40"/>
      <c r="AJ865" s="40"/>
      <c r="AK865" s="40"/>
      <c r="AL865" s="40"/>
      <c r="AM865" s="40"/>
      <c r="AN865" s="40"/>
      <c r="AO865" s="40"/>
      <c r="AP865" s="40"/>
    </row>
    <row r="866" spans="2:42" x14ac:dyDescent="0.2">
      <c r="B866" s="40"/>
      <c r="C866" s="40"/>
      <c r="D866" s="40"/>
      <c r="E866" s="40"/>
      <c r="F866" s="40"/>
      <c r="G866" s="40"/>
      <c r="H866" s="40"/>
      <c r="I866" s="40"/>
      <c r="J866" s="40"/>
      <c r="K866" s="40"/>
      <c r="L866" s="40"/>
      <c r="M866" s="40"/>
      <c r="N866" s="40"/>
      <c r="O866" s="40"/>
      <c r="P866" s="40"/>
      <c r="Q866" s="40"/>
      <c r="R866" s="40"/>
      <c r="S866" s="40"/>
      <c r="T866" s="40"/>
      <c r="U866" s="40"/>
      <c r="V866" s="40"/>
      <c r="W866" s="40"/>
      <c r="X866" s="40"/>
      <c r="Y866" s="40"/>
      <c r="Z866" s="40"/>
      <c r="AA866" s="40"/>
      <c r="AB866" s="40"/>
      <c r="AC866" s="40"/>
      <c r="AD866" s="40"/>
      <c r="AE866" s="40"/>
      <c r="AF866" s="40"/>
      <c r="AG866" s="40"/>
      <c r="AH866" s="40"/>
      <c r="AI866" s="40"/>
      <c r="AJ866" s="40"/>
      <c r="AK866" s="40"/>
      <c r="AL866" s="40"/>
      <c r="AM866" s="40"/>
      <c r="AN866" s="40"/>
      <c r="AO866" s="40"/>
      <c r="AP866" s="40"/>
    </row>
    <row r="867" spans="2:42" x14ac:dyDescent="0.2">
      <c r="B867" s="40"/>
      <c r="C867" s="40"/>
      <c r="D867" s="40"/>
      <c r="E867" s="40"/>
      <c r="F867" s="40"/>
      <c r="G867" s="40"/>
      <c r="H867" s="40"/>
      <c r="I867" s="40"/>
      <c r="J867" s="40"/>
      <c r="K867" s="40"/>
      <c r="L867" s="40"/>
      <c r="M867" s="40"/>
      <c r="N867" s="40"/>
      <c r="O867" s="40"/>
      <c r="P867" s="40"/>
      <c r="Q867" s="40"/>
      <c r="R867" s="40"/>
      <c r="S867" s="40"/>
      <c r="T867" s="40"/>
      <c r="U867" s="40"/>
      <c r="V867" s="40"/>
      <c r="W867" s="40"/>
      <c r="X867" s="40"/>
      <c r="Y867" s="40"/>
      <c r="Z867" s="40"/>
      <c r="AA867" s="40"/>
      <c r="AB867" s="40"/>
      <c r="AC867" s="40"/>
      <c r="AD867" s="40"/>
      <c r="AE867" s="40"/>
      <c r="AF867" s="40"/>
      <c r="AG867" s="40"/>
      <c r="AH867" s="40"/>
      <c r="AI867" s="40"/>
      <c r="AJ867" s="40"/>
      <c r="AK867" s="40"/>
      <c r="AL867" s="40"/>
      <c r="AM867" s="40"/>
      <c r="AN867" s="40"/>
      <c r="AO867" s="40"/>
      <c r="AP867" s="40"/>
    </row>
    <row r="868" spans="2:42" x14ac:dyDescent="0.2">
      <c r="B868" s="40"/>
      <c r="C868" s="40"/>
      <c r="D868" s="40"/>
      <c r="E868" s="40"/>
      <c r="F868" s="40"/>
      <c r="G868" s="40"/>
      <c r="H868" s="40"/>
      <c r="I868" s="40"/>
      <c r="J868" s="40"/>
      <c r="K868" s="40"/>
      <c r="L868" s="40"/>
      <c r="M868" s="40"/>
      <c r="N868" s="40"/>
      <c r="O868" s="40"/>
      <c r="P868" s="40"/>
      <c r="Q868" s="40"/>
      <c r="R868" s="40"/>
      <c r="S868" s="40"/>
      <c r="T868" s="40"/>
      <c r="U868" s="40"/>
      <c r="V868" s="40"/>
      <c r="W868" s="40"/>
      <c r="X868" s="40"/>
      <c r="Y868" s="40"/>
      <c r="Z868" s="40"/>
      <c r="AA868" s="40"/>
      <c r="AB868" s="40"/>
      <c r="AC868" s="40"/>
      <c r="AD868" s="40"/>
      <c r="AE868" s="40"/>
      <c r="AF868" s="40"/>
      <c r="AG868" s="40"/>
      <c r="AH868" s="40"/>
      <c r="AI868" s="40"/>
      <c r="AJ868" s="40"/>
      <c r="AK868" s="40"/>
      <c r="AL868" s="40"/>
      <c r="AM868" s="40"/>
      <c r="AN868" s="40"/>
      <c r="AO868" s="40"/>
      <c r="AP868" s="40"/>
    </row>
    <row r="869" spans="2:42" x14ac:dyDescent="0.2">
      <c r="B869" s="40"/>
      <c r="C869" s="40"/>
      <c r="D869" s="40"/>
      <c r="E869" s="40"/>
      <c r="F869" s="40"/>
      <c r="G869" s="40"/>
      <c r="H869" s="40"/>
      <c r="I869" s="40"/>
      <c r="J869" s="40"/>
      <c r="K869" s="40"/>
      <c r="L869" s="40"/>
      <c r="M869" s="40"/>
      <c r="N869" s="40"/>
      <c r="O869" s="40"/>
      <c r="P869" s="40"/>
      <c r="Q869" s="40"/>
      <c r="R869" s="40"/>
      <c r="S869" s="40"/>
      <c r="T869" s="40"/>
      <c r="U869" s="40"/>
      <c r="V869" s="40"/>
      <c r="W869" s="40"/>
      <c r="X869" s="40"/>
      <c r="Y869" s="40"/>
      <c r="Z869" s="40"/>
      <c r="AA869" s="40"/>
      <c r="AB869" s="40"/>
      <c r="AC869" s="40"/>
      <c r="AD869" s="40"/>
      <c r="AE869" s="40"/>
      <c r="AF869" s="40"/>
      <c r="AG869" s="40"/>
      <c r="AH869" s="40"/>
      <c r="AI869" s="40"/>
      <c r="AJ869" s="40"/>
      <c r="AK869" s="40"/>
      <c r="AL869" s="40"/>
      <c r="AM869" s="40"/>
      <c r="AN869" s="40"/>
      <c r="AO869" s="40"/>
      <c r="AP869" s="40"/>
    </row>
    <row r="870" spans="2:42" x14ac:dyDescent="0.2">
      <c r="B870" s="40"/>
      <c r="C870" s="40"/>
      <c r="D870" s="40"/>
      <c r="E870" s="40"/>
      <c r="F870" s="40"/>
      <c r="G870" s="40"/>
      <c r="H870" s="40"/>
      <c r="I870" s="40"/>
      <c r="J870" s="40"/>
      <c r="K870" s="40"/>
      <c r="L870" s="40"/>
      <c r="M870" s="40"/>
      <c r="N870" s="40"/>
      <c r="O870" s="40"/>
      <c r="P870" s="40"/>
      <c r="Q870" s="40"/>
      <c r="R870" s="40"/>
      <c r="S870" s="40"/>
      <c r="T870" s="40"/>
      <c r="U870" s="40"/>
      <c r="V870" s="40"/>
      <c r="W870" s="40"/>
      <c r="X870" s="40"/>
      <c r="Y870" s="40"/>
      <c r="Z870" s="40"/>
      <c r="AA870" s="40"/>
      <c r="AB870" s="40"/>
      <c r="AC870" s="40"/>
      <c r="AD870" s="40"/>
      <c r="AE870" s="40"/>
      <c r="AF870" s="40"/>
      <c r="AG870" s="40"/>
      <c r="AH870" s="40"/>
      <c r="AI870" s="40"/>
      <c r="AJ870" s="40"/>
      <c r="AK870" s="40"/>
      <c r="AL870" s="40"/>
      <c r="AM870" s="40"/>
      <c r="AN870" s="40"/>
      <c r="AO870" s="40"/>
      <c r="AP870" s="40"/>
    </row>
    <row r="871" spans="2:42" x14ac:dyDescent="0.2">
      <c r="B871" s="40"/>
      <c r="C871" s="40"/>
      <c r="D871" s="40"/>
      <c r="E871" s="40"/>
      <c r="F871" s="40"/>
      <c r="G871" s="40"/>
      <c r="H871" s="40"/>
      <c r="I871" s="40"/>
      <c r="J871" s="40"/>
      <c r="K871" s="40"/>
      <c r="L871" s="40"/>
      <c r="M871" s="40"/>
      <c r="N871" s="40"/>
      <c r="O871" s="40"/>
      <c r="P871" s="40"/>
      <c r="Q871" s="40"/>
      <c r="R871" s="40"/>
      <c r="S871" s="40"/>
      <c r="T871" s="40"/>
      <c r="U871" s="40"/>
      <c r="V871" s="40"/>
      <c r="W871" s="40"/>
      <c r="X871" s="40"/>
      <c r="Y871" s="40"/>
      <c r="Z871" s="40"/>
      <c r="AA871" s="40"/>
      <c r="AB871" s="40"/>
      <c r="AC871" s="40"/>
      <c r="AD871" s="40"/>
      <c r="AE871" s="40"/>
      <c r="AF871" s="40"/>
      <c r="AG871" s="40"/>
      <c r="AH871" s="40"/>
      <c r="AI871" s="40"/>
      <c r="AJ871" s="40"/>
      <c r="AK871" s="40"/>
      <c r="AL871" s="40"/>
      <c r="AM871" s="40"/>
      <c r="AN871" s="40"/>
      <c r="AO871" s="40"/>
      <c r="AP871" s="40"/>
    </row>
    <row r="872" spans="2:42" x14ac:dyDescent="0.2">
      <c r="B872" s="40"/>
      <c r="C872" s="40"/>
      <c r="D872" s="40"/>
      <c r="E872" s="40"/>
      <c r="F872" s="40"/>
      <c r="G872" s="40"/>
      <c r="H872" s="40"/>
      <c r="I872" s="40"/>
      <c r="J872" s="40"/>
      <c r="K872" s="40"/>
      <c r="L872" s="40"/>
      <c r="M872" s="40"/>
      <c r="N872" s="40"/>
      <c r="O872" s="40"/>
      <c r="P872" s="40"/>
      <c r="Q872" s="40"/>
      <c r="R872" s="40"/>
      <c r="S872" s="40"/>
      <c r="T872" s="40"/>
      <c r="U872" s="40"/>
      <c r="V872" s="40"/>
      <c r="W872" s="40"/>
      <c r="X872" s="40"/>
      <c r="Y872" s="40"/>
      <c r="Z872" s="40"/>
      <c r="AA872" s="40"/>
      <c r="AB872" s="40"/>
      <c r="AC872" s="40"/>
      <c r="AD872" s="40"/>
      <c r="AE872" s="40"/>
      <c r="AF872" s="40"/>
      <c r="AG872" s="40"/>
      <c r="AH872" s="40"/>
      <c r="AI872" s="40"/>
      <c r="AJ872" s="40"/>
      <c r="AK872" s="40"/>
      <c r="AL872" s="40"/>
      <c r="AM872" s="40"/>
      <c r="AN872" s="40"/>
      <c r="AO872" s="40"/>
      <c r="AP872" s="40"/>
    </row>
    <row r="873" spans="2:42" x14ac:dyDescent="0.2">
      <c r="B873" s="40"/>
      <c r="C873" s="40"/>
      <c r="D873" s="40"/>
      <c r="E873" s="40"/>
      <c r="F873" s="40"/>
      <c r="G873" s="40"/>
      <c r="H873" s="40"/>
      <c r="I873" s="40"/>
      <c r="J873" s="40"/>
      <c r="K873" s="40"/>
      <c r="L873" s="40"/>
      <c r="M873" s="40"/>
      <c r="N873" s="40"/>
      <c r="O873" s="40"/>
      <c r="P873" s="40"/>
      <c r="Q873" s="40"/>
      <c r="R873" s="40"/>
      <c r="S873" s="40"/>
      <c r="T873" s="40"/>
      <c r="U873" s="40"/>
      <c r="V873" s="40"/>
      <c r="W873" s="40"/>
      <c r="X873" s="40"/>
      <c r="Y873" s="40"/>
      <c r="Z873" s="40"/>
      <c r="AA873" s="40"/>
      <c r="AB873" s="40"/>
      <c r="AC873" s="40"/>
      <c r="AD873" s="40"/>
      <c r="AE873" s="40"/>
      <c r="AF873" s="40"/>
      <c r="AG873" s="40"/>
      <c r="AH873" s="40"/>
      <c r="AI873" s="40"/>
      <c r="AJ873" s="40"/>
      <c r="AK873" s="40"/>
      <c r="AL873" s="40"/>
      <c r="AM873" s="40"/>
      <c r="AN873" s="40"/>
      <c r="AO873" s="40"/>
      <c r="AP873" s="40"/>
    </row>
    <row r="874" spans="2:42" x14ac:dyDescent="0.2">
      <c r="B874" s="40"/>
      <c r="C874" s="40"/>
      <c r="D874" s="40"/>
      <c r="E874" s="40"/>
      <c r="F874" s="40"/>
      <c r="G874" s="40"/>
      <c r="H874" s="40"/>
      <c r="I874" s="40"/>
      <c r="J874" s="40"/>
      <c r="K874" s="40"/>
      <c r="L874" s="40"/>
      <c r="M874" s="40"/>
      <c r="N874" s="40"/>
      <c r="O874" s="40"/>
      <c r="P874" s="40"/>
      <c r="Q874" s="40"/>
      <c r="R874" s="40"/>
      <c r="S874" s="40"/>
      <c r="T874" s="40"/>
      <c r="U874" s="40"/>
      <c r="V874" s="40"/>
      <c r="W874" s="40"/>
      <c r="X874" s="40"/>
      <c r="Y874" s="40"/>
      <c r="Z874" s="40"/>
      <c r="AA874" s="40"/>
      <c r="AB874" s="40"/>
      <c r="AC874" s="40"/>
      <c r="AD874" s="40"/>
      <c r="AE874" s="40"/>
      <c r="AF874" s="40"/>
      <c r="AG874" s="40"/>
      <c r="AH874" s="40"/>
      <c r="AI874" s="40"/>
      <c r="AJ874" s="40"/>
      <c r="AK874" s="40"/>
      <c r="AL874" s="40"/>
      <c r="AM874" s="40"/>
      <c r="AN874" s="40"/>
      <c r="AO874" s="40"/>
      <c r="AP874" s="40"/>
    </row>
    <row r="875" spans="2:42" x14ac:dyDescent="0.2">
      <c r="B875" s="40"/>
      <c r="C875" s="40"/>
      <c r="D875" s="40"/>
      <c r="E875" s="40"/>
      <c r="F875" s="40"/>
      <c r="G875" s="40"/>
      <c r="H875" s="40"/>
      <c r="I875" s="40"/>
      <c r="J875" s="40"/>
      <c r="K875" s="40"/>
      <c r="L875" s="40"/>
      <c r="M875" s="40"/>
      <c r="N875" s="40"/>
      <c r="O875" s="40"/>
      <c r="P875" s="40"/>
      <c r="Q875" s="40"/>
      <c r="R875" s="40"/>
      <c r="S875" s="40"/>
      <c r="T875" s="40"/>
      <c r="U875" s="40"/>
      <c r="V875" s="40"/>
      <c r="W875" s="40"/>
      <c r="X875" s="40"/>
      <c r="Y875" s="40"/>
      <c r="Z875" s="40"/>
      <c r="AA875" s="40"/>
      <c r="AB875" s="40"/>
      <c r="AC875" s="40"/>
      <c r="AD875" s="40"/>
      <c r="AE875" s="40"/>
      <c r="AF875" s="40"/>
      <c r="AG875" s="40"/>
      <c r="AH875" s="40"/>
      <c r="AI875" s="40"/>
      <c r="AJ875" s="40"/>
      <c r="AK875" s="40"/>
      <c r="AL875" s="40"/>
      <c r="AM875" s="40"/>
      <c r="AN875" s="40"/>
      <c r="AO875" s="40"/>
      <c r="AP875" s="40"/>
    </row>
    <row r="876" spans="2:42" x14ac:dyDescent="0.2">
      <c r="B876" s="40"/>
      <c r="C876" s="40"/>
      <c r="D876" s="40"/>
      <c r="E876" s="40"/>
      <c r="F876" s="40"/>
      <c r="G876" s="40"/>
      <c r="H876" s="40"/>
      <c r="I876" s="40"/>
      <c r="J876" s="40"/>
      <c r="K876" s="40"/>
      <c r="L876" s="40"/>
      <c r="M876" s="40"/>
      <c r="N876" s="40"/>
      <c r="O876" s="40"/>
      <c r="P876" s="40"/>
      <c r="Q876" s="40"/>
      <c r="R876" s="40"/>
      <c r="S876" s="40"/>
      <c r="T876" s="40"/>
      <c r="U876" s="40"/>
      <c r="V876" s="40"/>
      <c r="W876" s="40"/>
      <c r="X876" s="40"/>
      <c r="Y876" s="40"/>
      <c r="Z876" s="40"/>
      <c r="AA876" s="40"/>
      <c r="AB876" s="40"/>
      <c r="AC876" s="40"/>
      <c r="AD876" s="40"/>
      <c r="AE876" s="40"/>
      <c r="AF876" s="40"/>
      <c r="AG876" s="40"/>
      <c r="AH876" s="40"/>
      <c r="AI876" s="40"/>
      <c r="AJ876" s="40"/>
      <c r="AK876" s="40"/>
      <c r="AL876" s="40"/>
      <c r="AM876" s="40"/>
      <c r="AN876" s="40"/>
      <c r="AO876" s="40"/>
      <c r="AP876" s="40"/>
    </row>
    <row r="877" spans="2:42" x14ac:dyDescent="0.2">
      <c r="B877" s="40"/>
      <c r="C877" s="40"/>
      <c r="D877" s="40"/>
      <c r="E877" s="40"/>
      <c r="F877" s="40"/>
      <c r="G877" s="40"/>
      <c r="H877" s="40"/>
      <c r="I877" s="40"/>
      <c r="J877" s="40"/>
      <c r="K877" s="40"/>
      <c r="L877" s="40"/>
      <c r="M877" s="40"/>
      <c r="N877" s="40"/>
      <c r="O877" s="40"/>
      <c r="P877" s="40"/>
      <c r="Q877" s="40"/>
      <c r="R877" s="40"/>
      <c r="S877" s="40"/>
      <c r="T877" s="40"/>
      <c r="U877" s="40"/>
      <c r="V877" s="40"/>
      <c r="W877" s="40"/>
      <c r="X877" s="40"/>
      <c r="Y877" s="40"/>
      <c r="Z877" s="40"/>
      <c r="AA877" s="40"/>
      <c r="AB877" s="40"/>
      <c r="AC877" s="40"/>
      <c r="AD877" s="40"/>
      <c r="AE877" s="40"/>
      <c r="AF877" s="40"/>
      <c r="AG877" s="40"/>
      <c r="AH877" s="40"/>
      <c r="AI877" s="40"/>
      <c r="AJ877" s="40"/>
      <c r="AK877" s="40"/>
      <c r="AL877" s="40"/>
      <c r="AM877" s="40"/>
      <c r="AN877" s="40"/>
      <c r="AO877" s="40"/>
      <c r="AP877" s="40"/>
    </row>
    <row r="878" spans="2:42" x14ac:dyDescent="0.2">
      <c r="B878" s="40"/>
      <c r="C878" s="40"/>
      <c r="D878" s="40"/>
      <c r="E878" s="40"/>
      <c r="F878" s="40"/>
      <c r="G878" s="40"/>
      <c r="H878" s="40"/>
      <c r="I878" s="40"/>
      <c r="J878" s="40"/>
      <c r="K878" s="40"/>
      <c r="L878" s="40"/>
      <c r="M878" s="40"/>
      <c r="N878" s="40"/>
      <c r="O878" s="40"/>
      <c r="P878" s="40"/>
      <c r="Q878" s="40"/>
      <c r="R878" s="40"/>
      <c r="S878" s="40"/>
      <c r="T878" s="40"/>
      <c r="U878" s="40"/>
      <c r="V878" s="40"/>
      <c r="W878" s="40"/>
      <c r="X878" s="40"/>
      <c r="Y878" s="40"/>
      <c r="Z878" s="40"/>
      <c r="AA878" s="40"/>
      <c r="AB878" s="40"/>
      <c r="AC878" s="40"/>
      <c r="AD878" s="40"/>
      <c r="AE878" s="40"/>
      <c r="AF878" s="40"/>
      <c r="AG878" s="40"/>
      <c r="AH878" s="40"/>
      <c r="AI878" s="40"/>
      <c r="AJ878" s="40"/>
      <c r="AK878" s="40"/>
      <c r="AL878" s="40"/>
      <c r="AM878" s="40"/>
      <c r="AN878" s="40"/>
      <c r="AO878" s="40"/>
      <c r="AP878" s="40"/>
    </row>
    <row r="879" spans="2:42" x14ac:dyDescent="0.2">
      <c r="B879" s="40"/>
      <c r="C879" s="40"/>
      <c r="D879" s="40"/>
      <c r="E879" s="40"/>
      <c r="F879" s="40"/>
      <c r="G879" s="40"/>
      <c r="H879" s="40"/>
      <c r="I879" s="40"/>
      <c r="J879" s="40"/>
      <c r="K879" s="40"/>
      <c r="L879" s="40"/>
      <c r="M879" s="40"/>
      <c r="N879" s="40"/>
      <c r="O879" s="40"/>
      <c r="P879" s="40"/>
      <c r="Q879" s="40"/>
      <c r="R879" s="40"/>
      <c r="S879" s="40"/>
      <c r="T879" s="40"/>
      <c r="U879" s="40"/>
      <c r="V879" s="40"/>
      <c r="W879" s="40"/>
      <c r="X879" s="40"/>
      <c r="Y879" s="40"/>
      <c r="Z879" s="40"/>
      <c r="AA879" s="40"/>
      <c r="AB879" s="40"/>
      <c r="AC879" s="40"/>
      <c r="AD879" s="40"/>
      <c r="AE879" s="40"/>
      <c r="AF879" s="40"/>
      <c r="AG879" s="40"/>
      <c r="AH879" s="40"/>
      <c r="AI879" s="40"/>
      <c r="AJ879" s="40"/>
      <c r="AK879" s="40"/>
      <c r="AL879" s="40"/>
      <c r="AM879" s="40"/>
      <c r="AN879" s="40"/>
      <c r="AO879" s="40"/>
      <c r="AP879" s="40"/>
    </row>
    <row r="880" spans="2:42" x14ac:dyDescent="0.2">
      <c r="B880" s="40"/>
      <c r="C880" s="40"/>
      <c r="D880" s="40"/>
      <c r="E880" s="40"/>
      <c r="F880" s="40"/>
      <c r="G880" s="40"/>
      <c r="H880" s="40"/>
      <c r="I880" s="40"/>
      <c r="J880" s="40"/>
      <c r="K880" s="40"/>
      <c r="L880" s="40"/>
      <c r="M880" s="40"/>
      <c r="N880" s="40"/>
      <c r="O880" s="40"/>
      <c r="P880" s="40"/>
      <c r="Q880" s="40"/>
      <c r="R880" s="40"/>
      <c r="S880" s="40"/>
      <c r="T880" s="40"/>
      <c r="U880" s="40"/>
      <c r="V880" s="40"/>
      <c r="W880" s="40"/>
      <c r="X880" s="40"/>
      <c r="Y880" s="40"/>
      <c r="Z880" s="40"/>
      <c r="AA880" s="40"/>
      <c r="AB880" s="40"/>
      <c r="AC880" s="40"/>
      <c r="AD880" s="40"/>
      <c r="AE880" s="40"/>
      <c r="AF880" s="40"/>
      <c r="AG880" s="40"/>
      <c r="AH880" s="40"/>
      <c r="AI880" s="40"/>
      <c r="AJ880" s="40"/>
      <c r="AK880" s="40"/>
      <c r="AL880" s="40"/>
      <c r="AM880" s="40"/>
      <c r="AN880" s="40"/>
      <c r="AO880" s="40"/>
      <c r="AP880" s="40"/>
    </row>
    <row r="881" spans="2:42" x14ac:dyDescent="0.2">
      <c r="B881" s="40"/>
      <c r="C881" s="40"/>
      <c r="D881" s="40"/>
      <c r="E881" s="40"/>
      <c r="F881" s="40"/>
      <c r="G881" s="40"/>
      <c r="H881" s="40"/>
      <c r="I881" s="40"/>
      <c r="J881" s="40"/>
      <c r="K881" s="40"/>
      <c r="L881" s="40"/>
      <c r="M881" s="40"/>
      <c r="N881" s="40"/>
      <c r="O881" s="40"/>
      <c r="P881" s="40"/>
      <c r="Q881" s="40"/>
      <c r="R881" s="40"/>
      <c r="S881" s="40"/>
      <c r="T881" s="40"/>
      <c r="U881" s="40"/>
      <c r="V881" s="40"/>
      <c r="W881" s="40"/>
      <c r="X881" s="40"/>
      <c r="Y881" s="40"/>
      <c r="Z881" s="40"/>
      <c r="AA881" s="40"/>
      <c r="AB881" s="40"/>
      <c r="AC881" s="40"/>
      <c r="AD881" s="40"/>
      <c r="AE881" s="40"/>
      <c r="AF881" s="40"/>
      <c r="AG881" s="40"/>
      <c r="AH881" s="40"/>
      <c r="AI881" s="40"/>
      <c r="AJ881" s="40"/>
      <c r="AK881" s="40"/>
      <c r="AL881" s="40"/>
      <c r="AM881" s="40"/>
      <c r="AN881" s="40"/>
      <c r="AO881" s="40"/>
      <c r="AP881" s="40"/>
    </row>
    <row r="882" spans="2:42" x14ac:dyDescent="0.2">
      <c r="B882" s="40"/>
      <c r="C882" s="40"/>
      <c r="D882" s="40"/>
      <c r="E882" s="40"/>
      <c r="F882" s="40"/>
      <c r="G882" s="40"/>
      <c r="H882" s="40"/>
      <c r="I882" s="40"/>
      <c r="J882" s="40"/>
      <c r="K882" s="40"/>
      <c r="L882" s="40"/>
      <c r="M882" s="40"/>
      <c r="N882" s="40"/>
      <c r="O882" s="40"/>
      <c r="P882" s="40"/>
      <c r="Q882" s="40"/>
      <c r="R882" s="40"/>
      <c r="S882" s="40"/>
      <c r="T882" s="40"/>
      <c r="U882" s="40"/>
      <c r="V882" s="40"/>
      <c r="W882" s="40"/>
      <c r="X882" s="40"/>
      <c r="Y882" s="40"/>
      <c r="Z882" s="40"/>
      <c r="AA882" s="40"/>
      <c r="AB882" s="40"/>
      <c r="AC882" s="40"/>
      <c r="AD882" s="40"/>
      <c r="AE882" s="40"/>
      <c r="AF882" s="40"/>
      <c r="AG882" s="40"/>
      <c r="AH882" s="40"/>
      <c r="AI882" s="40"/>
      <c r="AJ882" s="40"/>
      <c r="AK882" s="40"/>
      <c r="AL882" s="40"/>
      <c r="AM882" s="40"/>
      <c r="AN882" s="40"/>
      <c r="AO882" s="40"/>
      <c r="AP882" s="40"/>
    </row>
    <row r="883" spans="2:42" x14ac:dyDescent="0.2">
      <c r="B883" s="40"/>
      <c r="C883" s="40"/>
      <c r="D883" s="40"/>
      <c r="E883" s="40"/>
      <c r="F883" s="40"/>
      <c r="G883" s="40"/>
      <c r="H883" s="40"/>
      <c r="I883" s="40"/>
      <c r="J883" s="40"/>
      <c r="K883" s="40"/>
      <c r="L883" s="40"/>
      <c r="M883" s="40"/>
      <c r="N883" s="40"/>
      <c r="O883" s="40"/>
      <c r="P883" s="40"/>
      <c r="Q883" s="40"/>
      <c r="R883" s="40"/>
      <c r="S883" s="40"/>
      <c r="T883" s="40"/>
      <c r="U883" s="40"/>
      <c r="V883" s="40"/>
      <c r="W883" s="40"/>
      <c r="X883" s="40"/>
      <c r="Y883" s="40"/>
      <c r="Z883" s="40"/>
      <c r="AA883" s="40"/>
      <c r="AB883" s="40"/>
      <c r="AC883" s="40"/>
      <c r="AD883" s="40"/>
      <c r="AE883" s="40"/>
      <c r="AF883" s="40"/>
      <c r="AG883" s="40"/>
      <c r="AH883" s="40"/>
      <c r="AI883" s="40"/>
      <c r="AJ883" s="40"/>
      <c r="AK883" s="40"/>
      <c r="AL883" s="40"/>
      <c r="AM883" s="40"/>
      <c r="AN883" s="40"/>
      <c r="AO883" s="40"/>
      <c r="AP883" s="40"/>
    </row>
    <row r="884" spans="2:42" x14ac:dyDescent="0.2">
      <c r="B884" s="40"/>
      <c r="C884" s="40"/>
      <c r="D884" s="40"/>
      <c r="E884" s="40"/>
      <c r="F884" s="40"/>
      <c r="G884" s="40"/>
      <c r="H884" s="40"/>
      <c r="I884" s="40"/>
      <c r="J884" s="40"/>
      <c r="K884" s="40"/>
      <c r="L884" s="40"/>
      <c r="M884" s="40"/>
      <c r="N884" s="40"/>
      <c r="O884" s="40"/>
      <c r="P884" s="40"/>
      <c r="Q884" s="40"/>
      <c r="R884" s="40"/>
      <c r="S884" s="40"/>
      <c r="T884" s="40"/>
      <c r="U884" s="40"/>
      <c r="V884" s="40"/>
      <c r="W884" s="40"/>
      <c r="X884" s="40"/>
      <c r="Y884" s="40"/>
      <c r="Z884" s="40"/>
      <c r="AA884" s="40"/>
      <c r="AB884" s="40"/>
      <c r="AC884" s="40"/>
      <c r="AD884" s="40"/>
      <c r="AE884" s="40"/>
      <c r="AF884" s="40"/>
      <c r="AG884" s="40"/>
      <c r="AH884" s="40"/>
      <c r="AI884" s="40"/>
      <c r="AJ884" s="40"/>
      <c r="AK884" s="40"/>
      <c r="AL884" s="40"/>
      <c r="AM884" s="40"/>
      <c r="AN884" s="40"/>
      <c r="AO884" s="40"/>
      <c r="AP884" s="40"/>
    </row>
    <row r="885" spans="2:42" x14ac:dyDescent="0.2">
      <c r="B885" s="40"/>
      <c r="C885" s="40"/>
      <c r="D885" s="40"/>
      <c r="E885" s="40"/>
      <c r="F885" s="40"/>
      <c r="G885" s="40"/>
      <c r="H885" s="40"/>
      <c r="I885" s="40"/>
      <c r="J885" s="40"/>
      <c r="K885" s="40"/>
      <c r="L885" s="40"/>
      <c r="M885" s="40"/>
      <c r="N885" s="40"/>
      <c r="O885" s="40"/>
      <c r="P885" s="40"/>
      <c r="Q885" s="40"/>
      <c r="R885" s="40"/>
      <c r="S885" s="40"/>
      <c r="T885" s="40"/>
      <c r="U885" s="40"/>
      <c r="V885" s="40"/>
      <c r="W885" s="40"/>
      <c r="X885" s="40"/>
      <c r="Y885" s="40"/>
      <c r="Z885" s="40"/>
      <c r="AA885" s="40"/>
      <c r="AB885" s="40"/>
      <c r="AC885" s="40"/>
      <c r="AD885" s="40"/>
      <c r="AE885" s="40"/>
      <c r="AF885" s="40"/>
      <c r="AG885" s="40"/>
      <c r="AH885" s="40"/>
      <c r="AI885" s="40"/>
      <c r="AJ885" s="40"/>
      <c r="AK885" s="40"/>
      <c r="AL885" s="40"/>
      <c r="AM885" s="40"/>
      <c r="AN885" s="40"/>
      <c r="AO885" s="40"/>
      <c r="AP885" s="40"/>
    </row>
    <row r="886" spans="2:42" x14ac:dyDescent="0.2">
      <c r="B886" s="40"/>
      <c r="C886" s="40"/>
      <c r="D886" s="40"/>
      <c r="E886" s="40"/>
      <c r="F886" s="40"/>
      <c r="G886" s="40"/>
      <c r="H886" s="40"/>
      <c r="I886" s="40"/>
      <c r="J886" s="40"/>
      <c r="K886" s="40"/>
      <c r="L886" s="40"/>
      <c r="M886" s="40"/>
      <c r="N886" s="40"/>
      <c r="O886" s="40"/>
      <c r="P886" s="40"/>
      <c r="Q886" s="40"/>
      <c r="R886" s="40"/>
      <c r="S886" s="40"/>
      <c r="T886" s="40"/>
      <c r="U886" s="40"/>
      <c r="V886" s="40"/>
      <c r="W886" s="40"/>
      <c r="X886" s="40"/>
      <c r="Y886" s="40"/>
      <c r="Z886" s="40"/>
      <c r="AA886" s="40"/>
      <c r="AB886" s="40"/>
      <c r="AC886" s="40"/>
      <c r="AD886" s="40"/>
      <c r="AE886" s="40"/>
      <c r="AF886" s="40"/>
      <c r="AG886" s="40"/>
      <c r="AH886" s="40"/>
      <c r="AI886" s="40"/>
      <c r="AJ886" s="40"/>
      <c r="AK886" s="40"/>
      <c r="AL886" s="40"/>
      <c r="AM886" s="40"/>
      <c r="AN886" s="40"/>
      <c r="AO886" s="40"/>
      <c r="AP886" s="40"/>
    </row>
    <row r="887" spans="2:42" x14ac:dyDescent="0.2">
      <c r="B887" s="40"/>
      <c r="C887" s="40"/>
      <c r="D887" s="40"/>
      <c r="E887" s="40"/>
      <c r="F887" s="40"/>
      <c r="G887" s="40"/>
      <c r="H887" s="40"/>
      <c r="I887" s="40"/>
      <c r="J887" s="40"/>
      <c r="K887" s="40"/>
      <c r="L887" s="40"/>
      <c r="M887" s="40"/>
      <c r="N887" s="40"/>
      <c r="O887" s="40"/>
      <c r="P887" s="40"/>
      <c r="Q887" s="40"/>
      <c r="R887" s="40"/>
      <c r="S887" s="40"/>
      <c r="T887" s="40"/>
      <c r="U887" s="40"/>
      <c r="V887" s="40"/>
      <c r="W887" s="40"/>
      <c r="X887" s="40"/>
      <c r="Y887" s="40"/>
      <c r="Z887" s="40"/>
      <c r="AA887" s="40"/>
      <c r="AB887" s="40"/>
      <c r="AC887" s="40"/>
      <c r="AD887" s="40"/>
      <c r="AE887" s="40"/>
      <c r="AF887" s="40"/>
      <c r="AG887" s="40"/>
      <c r="AH887" s="40"/>
      <c r="AI887" s="40"/>
      <c r="AJ887" s="40"/>
      <c r="AK887" s="40"/>
      <c r="AL887" s="40"/>
      <c r="AM887" s="40"/>
      <c r="AN887" s="40"/>
      <c r="AO887" s="40"/>
      <c r="AP887" s="40"/>
    </row>
    <row r="888" spans="2:42" x14ac:dyDescent="0.2">
      <c r="B888" s="40"/>
      <c r="C888" s="40"/>
      <c r="D888" s="40"/>
      <c r="E888" s="40"/>
      <c r="F888" s="40"/>
      <c r="G888" s="40"/>
      <c r="H888" s="40"/>
      <c r="I888" s="40"/>
      <c r="J888" s="40"/>
      <c r="K888" s="40"/>
      <c r="L888" s="40"/>
      <c r="M888" s="40"/>
      <c r="N888" s="40"/>
      <c r="O888" s="40"/>
      <c r="P888" s="40"/>
      <c r="Q888" s="40"/>
      <c r="R888" s="40"/>
      <c r="S888" s="40"/>
      <c r="T888" s="40"/>
      <c r="U888" s="40"/>
      <c r="V888" s="40"/>
      <c r="W888" s="40"/>
      <c r="X888" s="40"/>
      <c r="Y888" s="40"/>
      <c r="Z888" s="40"/>
      <c r="AA888" s="40"/>
      <c r="AB888" s="40"/>
      <c r="AC888" s="40"/>
      <c r="AD888" s="40"/>
      <c r="AE888" s="40"/>
      <c r="AF888" s="40"/>
      <c r="AG888" s="40"/>
      <c r="AH888" s="40"/>
      <c r="AI888" s="40"/>
      <c r="AJ888" s="40"/>
      <c r="AK888" s="40"/>
      <c r="AL888" s="40"/>
      <c r="AM888" s="40"/>
      <c r="AN888" s="40"/>
      <c r="AO888" s="40"/>
      <c r="AP888" s="40"/>
    </row>
    <row r="889" spans="2:42" x14ac:dyDescent="0.2">
      <c r="B889" s="40"/>
      <c r="C889" s="40"/>
      <c r="D889" s="40"/>
      <c r="E889" s="40"/>
      <c r="F889" s="40"/>
      <c r="G889" s="40"/>
      <c r="H889" s="40"/>
      <c r="I889" s="40"/>
      <c r="J889" s="40"/>
      <c r="K889" s="40"/>
      <c r="L889" s="40"/>
      <c r="M889" s="40"/>
      <c r="N889" s="40"/>
      <c r="O889" s="40"/>
      <c r="P889" s="40"/>
      <c r="Q889" s="40"/>
      <c r="R889" s="40"/>
      <c r="S889" s="40"/>
      <c r="T889" s="40"/>
      <c r="U889" s="40"/>
      <c r="V889" s="40"/>
      <c r="W889" s="40"/>
      <c r="X889" s="40"/>
      <c r="Y889" s="40"/>
      <c r="Z889" s="40"/>
      <c r="AA889" s="40"/>
      <c r="AB889" s="40"/>
      <c r="AC889" s="40"/>
      <c r="AD889" s="40"/>
      <c r="AE889" s="40"/>
      <c r="AF889" s="40"/>
      <c r="AG889" s="40"/>
      <c r="AH889" s="40"/>
      <c r="AI889" s="40"/>
      <c r="AJ889" s="40"/>
      <c r="AK889" s="40"/>
      <c r="AL889" s="40"/>
      <c r="AM889" s="40"/>
      <c r="AN889" s="40"/>
      <c r="AO889" s="40"/>
      <c r="AP889" s="40"/>
    </row>
    <row r="890" spans="2:42" x14ac:dyDescent="0.2">
      <c r="B890" s="40"/>
      <c r="C890" s="40"/>
      <c r="D890" s="40"/>
      <c r="E890" s="40"/>
      <c r="F890" s="40"/>
      <c r="G890" s="40"/>
      <c r="H890" s="40"/>
      <c r="I890" s="40"/>
      <c r="J890" s="40"/>
      <c r="K890" s="40"/>
      <c r="L890" s="40"/>
      <c r="M890" s="40"/>
      <c r="N890" s="40"/>
      <c r="O890" s="40"/>
      <c r="P890" s="40"/>
      <c r="Q890" s="40"/>
      <c r="R890" s="40"/>
      <c r="S890" s="40"/>
      <c r="T890" s="40"/>
      <c r="U890" s="40"/>
      <c r="V890" s="40"/>
      <c r="W890" s="40"/>
      <c r="X890" s="40"/>
      <c r="Y890" s="40"/>
      <c r="Z890" s="40"/>
      <c r="AA890" s="40"/>
      <c r="AB890" s="40"/>
      <c r="AC890" s="40"/>
      <c r="AD890" s="40"/>
      <c r="AE890" s="40"/>
      <c r="AF890" s="40"/>
      <c r="AG890" s="40"/>
      <c r="AH890" s="40"/>
      <c r="AI890" s="40"/>
      <c r="AJ890" s="40"/>
      <c r="AK890" s="40"/>
      <c r="AL890" s="40"/>
      <c r="AM890" s="40"/>
      <c r="AN890" s="40"/>
      <c r="AO890" s="40"/>
      <c r="AP890" s="40"/>
    </row>
    <row r="891" spans="2:42" x14ac:dyDescent="0.2">
      <c r="B891" s="40"/>
      <c r="C891" s="40"/>
      <c r="D891" s="40"/>
      <c r="E891" s="40"/>
      <c r="F891" s="40"/>
      <c r="G891" s="40"/>
      <c r="H891" s="40"/>
      <c r="I891" s="40"/>
      <c r="J891" s="40"/>
      <c r="K891" s="40"/>
      <c r="L891" s="40"/>
      <c r="M891" s="40"/>
      <c r="N891" s="40"/>
      <c r="O891" s="40"/>
      <c r="P891" s="40"/>
      <c r="Q891" s="40"/>
      <c r="R891" s="40"/>
      <c r="S891" s="40"/>
      <c r="T891" s="40"/>
      <c r="U891" s="40"/>
      <c r="V891" s="40"/>
      <c r="W891" s="40"/>
      <c r="X891" s="40"/>
      <c r="Y891" s="40"/>
      <c r="Z891" s="40"/>
      <c r="AA891" s="40"/>
      <c r="AB891" s="40"/>
      <c r="AC891" s="40"/>
      <c r="AD891" s="40"/>
      <c r="AE891" s="40"/>
      <c r="AF891" s="40"/>
      <c r="AG891" s="40"/>
      <c r="AH891" s="40"/>
      <c r="AI891" s="40"/>
      <c r="AJ891" s="40"/>
      <c r="AK891" s="40"/>
      <c r="AL891" s="40"/>
      <c r="AM891" s="40"/>
      <c r="AN891" s="40"/>
      <c r="AO891" s="40"/>
      <c r="AP891" s="40"/>
    </row>
    <row r="892" spans="2:42" x14ac:dyDescent="0.2">
      <c r="B892" s="40"/>
      <c r="C892" s="40"/>
      <c r="D892" s="40"/>
      <c r="E892" s="40"/>
      <c r="F892" s="40"/>
      <c r="G892" s="40"/>
      <c r="H892" s="40"/>
      <c r="I892" s="40"/>
      <c r="J892" s="40"/>
      <c r="K892" s="40"/>
      <c r="L892" s="40"/>
      <c r="M892" s="40"/>
      <c r="N892" s="40"/>
      <c r="O892" s="40"/>
      <c r="P892" s="40"/>
      <c r="Q892" s="40"/>
      <c r="R892" s="40"/>
      <c r="S892" s="40"/>
      <c r="T892" s="40"/>
      <c r="U892" s="40"/>
      <c r="V892" s="40"/>
      <c r="W892" s="40"/>
      <c r="X892" s="40"/>
      <c r="Y892" s="40"/>
      <c r="Z892" s="40"/>
      <c r="AA892" s="40"/>
      <c r="AB892" s="40"/>
      <c r="AC892" s="40"/>
      <c r="AD892" s="40"/>
      <c r="AE892" s="40"/>
      <c r="AF892" s="40"/>
      <c r="AG892" s="40"/>
      <c r="AH892" s="40"/>
      <c r="AI892" s="40"/>
      <c r="AJ892" s="40"/>
      <c r="AK892" s="40"/>
      <c r="AL892" s="40"/>
      <c r="AM892" s="40"/>
      <c r="AN892" s="40"/>
      <c r="AO892" s="40"/>
      <c r="AP892" s="40"/>
    </row>
    <row r="893" spans="2:42" x14ac:dyDescent="0.2">
      <c r="B893" s="40"/>
      <c r="C893" s="40"/>
      <c r="D893" s="40"/>
      <c r="E893" s="40"/>
      <c r="F893" s="40"/>
      <c r="G893" s="40"/>
      <c r="H893" s="40"/>
      <c r="I893" s="40"/>
      <c r="J893" s="40"/>
      <c r="K893" s="40"/>
      <c r="L893" s="40"/>
      <c r="M893" s="40"/>
      <c r="N893" s="40"/>
      <c r="O893" s="40"/>
      <c r="P893" s="40"/>
      <c r="Q893" s="40"/>
      <c r="R893" s="40"/>
      <c r="S893" s="40"/>
      <c r="T893" s="40"/>
      <c r="U893" s="40"/>
      <c r="V893" s="40"/>
      <c r="W893" s="40"/>
      <c r="X893" s="40"/>
      <c r="Y893" s="40"/>
      <c r="Z893" s="40"/>
      <c r="AA893" s="40"/>
      <c r="AB893" s="40"/>
      <c r="AC893" s="40"/>
      <c r="AD893" s="40"/>
      <c r="AE893" s="40"/>
      <c r="AF893" s="40"/>
      <c r="AG893" s="40"/>
      <c r="AH893" s="40"/>
      <c r="AI893" s="40"/>
      <c r="AJ893" s="40"/>
      <c r="AK893" s="40"/>
      <c r="AL893" s="40"/>
      <c r="AM893" s="40"/>
      <c r="AN893" s="40"/>
      <c r="AO893" s="40"/>
      <c r="AP893" s="40"/>
    </row>
    <row r="894" spans="2:42" x14ac:dyDescent="0.2">
      <c r="B894" s="40"/>
      <c r="C894" s="40"/>
      <c r="D894" s="40"/>
      <c r="E894" s="40"/>
      <c r="F894" s="40"/>
      <c r="G894" s="40"/>
      <c r="H894" s="40"/>
      <c r="I894" s="40"/>
      <c r="J894" s="40"/>
      <c r="K894" s="40"/>
      <c r="L894" s="40"/>
      <c r="M894" s="40"/>
      <c r="N894" s="40"/>
      <c r="O894" s="40"/>
      <c r="P894" s="40"/>
      <c r="Q894" s="40"/>
      <c r="R894" s="40"/>
      <c r="S894" s="40"/>
      <c r="T894" s="40"/>
      <c r="U894" s="40"/>
      <c r="V894" s="40"/>
      <c r="W894" s="40"/>
      <c r="X894" s="40"/>
      <c r="Y894" s="40"/>
      <c r="Z894" s="40"/>
      <c r="AA894" s="40"/>
      <c r="AB894" s="40"/>
      <c r="AC894" s="40"/>
      <c r="AD894" s="40"/>
      <c r="AE894" s="40"/>
      <c r="AF894" s="40"/>
      <c r="AG894" s="40"/>
      <c r="AH894" s="40"/>
      <c r="AI894" s="40"/>
      <c r="AJ894" s="40"/>
      <c r="AK894" s="40"/>
      <c r="AL894" s="40"/>
      <c r="AM894" s="40"/>
      <c r="AN894" s="40"/>
      <c r="AO894" s="40"/>
      <c r="AP894" s="40"/>
    </row>
    <row r="895" spans="2:42" x14ac:dyDescent="0.2">
      <c r="B895" s="40"/>
      <c r="C895" s="40"/>
      <c r="D895" s="40"/>
      <c r="E895" s="40"/>
      <c r="F895" s="40"/>
      <c r="G895" s="40"/>
      <c r="H895" s="40"/>
      <c r="I895" s="40"/>
      <c r="J895" s="40"/>
      <c r="K895" s="40"/>
      <c r="L895" s="40"/>
      <c r="M895" s="40"/>
      <c r="N895" s="40"/>
      <c r="O895" s="40"/>
      <c r="P895" s="40"/>
      <c r="Q895" s="40"/>
      <c r="R895" s="40"/>
      <c r="S895" s="40"/>
      <c r="T895" s="40"/>
      <c r="U895" s="40"/>
      <c r="V895" s="40"/>
      <c r="W895" s="40"/>
      <c r="X895" s="40"/>
      <c r="Y895" s="40"/>
      <c r="Z895" s="40"/>
      <c r="AA895" s="40"/>
      <c r="AB895" s="40"/>
      <c r="AC895" s="40"/>
      <c r="AD895" s="40"/>
      <c r="AE895" s="40"/>
      <c r="AF895" s="40"/>
      <c r="AG895" s="40"/>
      <c r="AH895" s="40"/>
      <c r="AI895" s="40"/>
      <c r="AJ895" s="40"/>
      <c r="AK895" s="40"/>
      <c r="AL895" s="40"/>
      <c r="AM895" s="40"/>
      <c r="AN895" s="40"/>
      <c r="AO895" s="40"/>
      <c r="AP895" s="40"/>
    </row>
    <row r="896" spans="2:42" x14ac:dyDescent="0.2">
      <c r="B896" s="40"/>
      <c r="C896" s="40"/>
      <c r="D896" s="40"/>
      <c r="E896" s="40"/>
      <c r="F896" s="40"/>
      <c r="G896" s="40"/>
      <c r="H896" s="40"/>
      <c r="I896" s="40"/>
      <c r="J896" s="40"/>
      <c r="K896" s="40"/>
      <c r="L896" s="40"/>
      <c r="M896" s="40"/>
      <c r="N896" s="40"/>
      <c r="O896" s="40"/>
      <c r="P896" s="40"/>
      <c r="Q896" s="40"/>
      <c r="R896" s="40"/>
      <c r="S896" s="40"/>
      <c r="T896" s="40"/>
      <c r="U896" s="40"/>
      <c r="V896" s="40"/>
      <c r="W896" s="40"/>
      <c r="X896" s="40"/>
      <c r="Y896" s="40"/>
      <c r="Z896" s="40"/>
      <c r="AA896" s="40"/>
      <c r="AB896" s="40"/>
      <c r="AC896" s="40"/>
      <c r="AD896" s="40"/>
      <c r="AE896" s="40"/>
      <c r="AF896" s="40"/>
      <c r="AG896" s="40"/>
      <c r="AH896" s="40"/>
      <c r="AI896" s="40"/>
      <c r="AJ896" s="40"/>
      <c r="AK896" s="40"/>
      <c r="AL896" s="40"/>
      <c r="AM896" s="40"/>
      <c r="AN896" s="40"/>
      <c r="AO896" s="40"/>
      <c r="AP896" s="40"/>
    </row>
    <row r="897" spans="2:42" x14ac:dyDescent="0.2">
      <c r="B897" s="40"/>
      <c r="C897" s="40"/>
      <c r="D897" s="40"/>
      <c r="E897" s="40"/>
      <c r="F897" s="40"/>
      <c r="G897" s="40"/>
      <c r="H897" s="40"/>
      <c r="I897" s="40"/>
      <c r="J897" s="40"/>
      <c r="K897" s="40"/>
      <c r="L897" s="40"/>
      <c r="M897" s="40"/>
      <c r="N897" s="40"/>
      <c r="O897" s="40"/>
      <c r="P897" s="40"/>
      <c r="Q897" s="40"/>
      <c r="R897" s="40"/>
      <c r="S897" s="40"/>
      <c r="T897" s="40"/>
      <c r="U897" s="40"/>
      <c r="V897" s="40"/>
      <c r="W897" s="40"/>
      <c r="X897" s="40"/>
      <c r="Y897" s="40"/>
      <c r="Z897" s="40"/>
      <c r="AA897" s="40"/>
      <c r="AB897" s="40"/>
      <c r="AC897" s="40"/>
      <c r="AD897" s="40"/>
      <c r="AE897" s="40"/>
      <c r="AF897" s="40"/>
      <c r="AG897" s="40"/>
      <c r="AH897" s="40"/>
      <c r="AI897" s="40"/>
      <c r="AJ897" s="40"/>
      <c r="AK897" s="40"/>
      <c r="AL897" s="40"/>
      <c r="AM897" s="40"/>
      <c r="AN897" s="40"/>
      <c r="AO897" s="40"/>
      <c r="AP897" s="40"/>
    </row>
    <row r="898" spans="2:42" x14ac:dyDescent="0.2">
      <c r="B898" s="40"/>
      <c r="C898" s="40"/>
      <c r="D898" s="40"/>
      <c r="E898" s="40"/>
      <c r="F898" s="40"/>
      <c r="G898" s="40"/>
      <c r="H898" s="40"/>
      <c r="I898" s="40"/>
      <c r="J898" s="40"/>
      <c r="K898" s="40"/>
      <c r="L898" s="40"/>
      <c r="M898" s="40"/>
      <c r="N898" s="40"/>
      <c r="O898" s="40"/>
      <c r="P898" s="40"/>
      <c r="Q898" s="40"/>
      <c r="R898" s="40"/>
      <c r="S898" s="40"/>
      <c r="T898" s="40"/>
      <c r="U898" s="40"/>
      <c r="V898" s="40"/>
      <c r="W898" s="40"/>
      <c r="X898" s="40"/>
      <c r="Y898" s="40"/>
      <c r="Z898" s="40"/>
      <c r="AA898" s="40"/>
      <c r="AB898" s="40"/>
      <c r="AC898" s="40"/>
      <c r="AD898" s="40"/>
      <c r="AE898" s="40"/>
      <c r="AF898" s="40"/>
      <c r="AG898" s="40"/>
      <c r="AH898" s="40"/>
      <c r="AI898" s="40"/>
      <c r="AJ898" s="40"/>
      <c r="AK898" s="40"/>
      <c r="AL898" s="40"/>
      <c r="AM898" s="40"/>
      <c r="AN898" s="40"/>
      <c r="AO898" s="40"/>
      <c r="AP898" s="40"/>
    </row>
    <row r="899" spans="2:42" x14ac:dyDescent="0.2">
      <c r="B899" s="40"/>
      <c r="C899" s="40"/>
      <c r="D899" s="40"/>
      <c r="E899" s="40"/>
      <c r="F899" s="40"/>
      <c r="G899" s="40"/>
      <c r="H899" s="40"/>
      <c r="I899" s="40"/>
      <c r="J899" s="40"/>
      <c r="K899" s="40"/>
      <c r="L899" s="40"/>
      <c r="M899" s="40"/>
      <c r="N899" s="40"/>
      <c r="O899" s="40"/>
      <c r="P899" s="40"/>
      <c r="Q899" s="40"/>
      <c r="R899" s="40"/>
      <c r="S899" s="40"/>
      <c r="T899" s="40"/>
      <c r="U899" s="40"/>
      <c r="V899" s="40"/>
      <c r="W899" s="40"/>
      <c r="X899" s="40"/>
      <c r="Y899" s="40"/>
      <c r="Z899" s="40"/>
      <c r="AA899" s="40"/>
      <c r="AB899" s="40"/>
      <c r="AC899" s="40"/>
      <c r="AD899" s="40"/>
      <c r="AE899" s="40"/>
      <c r="AF899" s="40"/>
      <c r="AG899" s="40"/>
      <c r="AH899" s="40"/>
      <c r="AI899" s="40"/>
      <c r="AJ899" s="40"/>
      <c r="AK899" s="40"/>
      <c r="AL899" s="40"/>
      <c r="AM899" s="40"/>
      <c r="AN899" s="40"/>
      <c r="AO899" s="40"/>
      <c r="AP899" s="40"/>
    </row>
    <row r="900" spans="2:42" x14ac:dyDescent="0.2">
      <c r="B900" s="40"/>
      <c r="C900" s="40"/>
      <c r="D900" s="40"/>
      <c r="E900" s="40"/>
      <c r="F900" s="40"/>
      <c r="G900" s="40"/>
      <c r="H900" s="40"/>
      <c r="I900" s="40"/>
      <c r="J900" s="40"/>
      <c r="K900" s="40"/>
      <c r="L900" s="40"/>
      <c r="M900" s="40"/>
      <c r="N900" s="40"/>
      <c r="O900" s="40"/>
      <c r="P900" s="40"/>
      <c r="Q900" s="40"/>
      <c r="R900" s="40"/>
      <c r="S900" s="40"/>
      <c r="T900" s="40"/>
      <c r="U900" s="40"/>
      <c r="V900" s="40"/>
      <c r="W900" s="40"/>
      <c r="X900" s="40"/>
      <c r="Y900" s="40"/>
      <c r="Z900" s="40"/>
      <c r="AA900" s="40"/>
      <c r="AB900" s="40"/>
      <c r="AC900" s="40"/>
      <c r="AD900" s="40"/>
      <c r="AE900" s="40"/>
      <c r="AF900" s="40"/>
      <c r="AG900" s="40"/>
      <c r="AH900" s="40"/>
      <c r="AI900" s="40"/>
      <c r="AJ900" s="40"/>
      <c r="AK900" s="40"/>
      <c r="AL900" s="40"/>
      <c r="AM900" s="40"/>
      <c r="AN900" s="40"/>
      <c r="AO900" s="40"/>
      <c r="AP900" s="40"/>
    </row>
    <row r="901" spans="2:42" x14ac:dyDescent="0.2">
      <c r="B901" s="40"/>
      <c r="C901" s="40"/>
      <c r="D901" s="40"/>
      <c r="E901" s="40"/>
      <c r="F901" s="40"/>
      <c r="G901" s="40"/>
      <c r="H901" s="40"/>
      <c r="I901" s="40"/>
      <c r="J901" s="40"/>
      <c r="K901" s="40"/>
      <c r="L901" s="40"/>
      <c r="M901" s="40"/>
      <c r="N901" s="40"/>
      <c r="O901" s="40"/>
      <c r="P901" s="40"/>
      <c r="Q901" s="40"/>
      <c r="R901" s="40"/>
      <c r="S901" s="40"/>
      <c r="T901" s="40"/>
      <c r="U901" s="40"/>
      <c r="V901" s="40"/>
      <c r="W901" s="40"/>
      <c r="X901" s="40"/>
      <c r="Y901" s="40"/>
      <c r="Z901" s="40"/>
      <c r="AA901" s="40"/>
      <c r="AB901" s="40"/>
      <c r="AC901" s="40"/>
      <c r="AD901" s="40"/>
      <c r="AE901" s="40"/>
      <c r="AF901" s="40"/>
      <c r="AG901" s="40"/>
      <c r="AH901" s="40"/>
      <c r="AI901" s="40"/>
      <c r="AJ901" s="40"/>
      <c r="AK901" s="40"/>
      <c r="AL901" s="40"/>
      <c r="AM901" s="40"/>
      <c r="AN901" s="40"/>
      <c r="AO901" s="40"/>
      <c r="AP901" s="40"/>
    </row>
    <row r="902" spans="2:42" x14ac:dyDescent="0.2">
      <c r="B902" s="40"/>
      <c r="C902" s="40"/>
      <c r="D902" s="40"/>
      <c r="E902" s="40"/>
      <c r="F902" s="40"/>
      <c r="G902" s="40"/>
      <c r="H902" s="40"/>
      <c r="I902" s="40"/>
      <c r="J902" s="40"/>
      <c r="K902" s="40"/>
      <c r="L902" s="40"/>
      <c r="M902" s="40"/>
      <c r="N902" s="40"/>
      <c r="O902" s="40"/>
      <c r="P902" s="40"/>
      <c r="Q902" s="40"/>
      <c r="R902" s="40"/>
      <c r="S902" s="40"/>
      <c r="T902" s="40"/>
      <c r="U902" s="40"/>
      <c r="V902" s="40"/>
      <c r="W902" s="40"/>
      <c r="X902" s="40"/>
      <c r="Y902" s="40"/>
      <c r="Z902" s="40"/>
      <c r="AA902" s="40"/>
      <c r="AB902" s="40"/>
      <c r="AC902" s="40"/>
      <c r="AD902" s="40"/>
      <c r="AE902" s="40"/>
      <c r="AF902" s="40"/>
      <c r="AG902" s="40"/>
      <c r="AH902" s="40"/>
      <c r="AI902" s="40"/>
      <c r="AJ902" s="40"/>
      <c r="AK902" s="40"/>
      <c r="AL902" s="40"/>
      <c r="AM902" s="40"/>
      <c r="AN902" s="40"/>
      <c r="AO902" s="40"/>
      <c r="AP902" s="40"/>
    </row>
    <row r="903" spans="2:42" x14ac:dyDescent="0.2">
      <c r="B903" s="40"/>
      <c r="C903" s="40"/>
      <c r="D903" s="40"/>
      <c r="E903" s="40"/>
      <c r="F903" s="40"/>
      <c r="G903" s="40"/>
      <c r="H903" s="40"/>
      <c r="I903" s="40"/>
      <c r="J903" s="40"/>
      <c r="K903" s="40"/>
      <c r="L903" s="40"/>
      <c r="M903" s="40"/>
      <c r="N903" s="40"/>
      <c r="O903" s="40"/>
      <c r="P903" s="40"/>
      <c r="Q903" s="40"/>
      <c r="R903" s="40"/>
      <c r="S903" s="40"/>
      <c r="T903" s="40"/>
      <c r="U903" s="40"/>
      <c r="V903" s="40"/>
      <c r="W903" s="40"/>
      <c r="X903" s="40"/>
      <c r="Y903" s="40"/>
      <c r="Z903" s="40"/>
      <c r="AA903" s="40"/>
      <c r="AB903" s="40"/>
      <c r="AC903" s="40"/>
      <c r="AD903" s="40"/>
      <c r="AE903" s="40"/>
      <c r="AF903" s="40"/>
      <c r="AG903" s="40"/>
      <c r="AH903" s="40"/>
      <c r="AI903" s="40"/>
      <c r="AJ903" s="40"/>
      <c r="AK903" s="40"/>
      <c r="AL903" s="40"/>
      <c r="AM903" s="40"/>
      <c r="AN903" s="40"/>
      <c r="AO903" s="40"/>
      <c r="AP903" s="40"/>
    </row>
    <row r="904" spans="2:42" x14ac:dyDescent="0.2">
      <c r="B904" s="40"/>
      <c r="C904" s="40"/>
      <c r="D904" s="40"/>
      <c r="E904" s="40"/>
      <c r="F904" s="40"/>
      <c r="G904" s="40"/>
      <c r="H904" s="40"/>
      <c r="I904" s="40"/>
      <c r="J904" s="40"/>
      <c r="K904" s="40"/>
      <c r="L904" s="40"/>
      <c r="M904" s="40"/>
      <c r="N904" s="40"/>
      <c r="O904" s="40"/>
      <c r="P904" s="40"/>
      <c r="Q904" s="40"/>
      <c r="R904" s="40"/>
      <c r="S904" s="40"/>
      <c r="T904" s="40"/>
      <c r="U904" s="40"/>
      <c r="V904" s="40"/>
      <c r="W904" s="40"/>
      <c r="X904" s="40"/>
      <c r="Y904" s="40"/>
      <c r="Z904" s="40"/>
      <c r="AA904" s="40"/>
      <c r="AB904" s="40"/>
      <c r="AC904" s="40"/>
      <c r="AD904" s="40"/>
      <c r="AE904" s="40"/>
      <c r="AF904" s="40"/>
      <c r="AG904" s="40"/>
      <c r="AH904" s="40"/>
      <c r="AI904" s="40"/>
      <c r="AJ904" s="40"/>
      <c r="AK904" s="40"/>
      <c r="AL904" s="40"/>
      <c r="AM904" s="40"/>
      <c r="AN904" s="40"/>
      <c r="AO904" s="40"/>
      <c r="AP904" s="40"/>
    </row>
    <row r="905" spans="2:42" x14ac:dyDescent="0.2">
      <c r="B905" s="40"/>
      <c r="C905" s="40"/>
      <c r="D905" s="40"/>
      <c r="E905" s="40"/>
      <c r="F905" s="40"/>
      <c r="G905" s="40"/>
      <c r="H905" s="40"/>
      <c r="I905" s="40"/>
      <c r="J905" s="40"/>
      <c r="K905" s="40"/>
      <c r="L905" s="40"/>
      <c r="M905" s="40"/>
      <c r="N905" s="40"/>
      <c r="O905" s="40"/>
      <c r="P905" s="40"/>
      <c r="Q905" s="40"/>
      <c r="R905" s="40"/>
      <c r="S905" s="40"/>
      <c r="T905" s="40"/>
      <c r="U905" s="40"/>
      <c r="V905" s="40"/>
      <c r="W905" s="40"/>
      <c r="X905" s="40"/>
      <c r="Y905" s="40"/>
      <c r="Z905" s="40"/>
      <c r="AA905" s="40"/>
      <c r="AB905" s="40"/>
      <c r="AC905" s="40"/>
      <c r="AD905" s="40"/>
      <c r="AE905" s="40"/>
      <c r="AF905" s="40"/>
      <c r="AG905" s="40"/>
      <c r="AH905" s="40"/>
      <c r="AI905" s="40"/>
      <c r="AJ905" s="40"/>
      <c r="AK905" s="40"/>
      <c r="AL905" s="40"/>
      <c r="AM905" s="40"/>
      <c r="AN905" s="40"/>
      <c r="AO905" s="40"/>
      <c r="AP905" s="40"/>
    </row>
    <row r="906" spans="2:42" x14ac:dyDescent="0.2">
      <c r="B906" s="40"/>
      <c r="C906" s="40"/>
      <c r="D906" s="40"/>
      <c r="E906" s="40"/>
      <c r="F906" s="40"/>
      <c r="G906" s="40"/>
      <c r="H906" s="40"/>
      <c r="I906" s="40"/>
      <c r="J906" s="40"/>
      <c r="K906" s="40"/>
      <c r="L906" s="40"/>
      <c r="M906" s="40"/>
      <c r="N906" s="40"/>
      <c r="O906" s="40"/>
      <c r="P906" s="40"/>
      <c r="Q906" s="40"/>
      <c r="R906" s="40"/>
      <c r="S906" s="40"/>
      <c r="T906" s="40"/>
      <c r="U906" s="40"/>
      <c r="V906" s="40"/>
      <c r="W906" s="40"/>
      <c r="X906" s="40"/>
      <c r="Y906" s="40"/>
      <c r="Z906" s="40"/>
      <c r="AA906" s="40"/>
      <c r="AB906" s="40"/>
      <c r="AC906" s="40"/>
      <c r="AD906" s="40"/>
      <c r="AE906" s="40"/>
      <c r="AF906" s="40"/>
      <c r="AG906" s="40"/>
      <c r="AH906" s="40"/>
      <c r="AI906" s="40"/>
      <c r="AJ906" s="40"/>
      <c r="AK906" s="40"/>
      <c r="AL906" s="40"/>
      <c r="AM906" s="40"/>
      <c r="AN906" s="40"/>
      <c r="AO906" s="40"/>
      <c r="AP906" s="40"/>
    </row>
    <row r="907" spans="2:42" x14ac:dyDescent="0.2">
      <c r="B907" s="40"/>
      <c r="C907" s="40"/>
      <c r="D907" s="40"/>
      <c r="E907" s="40"/>
      <c r="F907" s="40"/>
      <c r="G907" s="40"/>
      <c r="H907" s="40"/>
      <c r="I907" s="40"/>
      <c r="J907" s="40"/>
      <c r="K907" s="40"/>
      <c r="L907" s="40"/>
      <c r="M907" s="40"/>
      <c r="N907" s="40"/>
      <c r="O907" s="40"/>
      <c r="P907" s="40"/>
      <c r="Q907" s="40"/>
      <c r="R907" s="40"/>
      <c r="S907" s="40"/>
      <c r="T907" s="40"/>
      <c r="U907" s="40"/>
      <c r="V907" s="40"/>
      <c r="W907" s="40"/>
      <c r="X907" s="40"/>
      <c r="Y907" s="40"/>
      <c r="Z907" s="40"/>
      <c r="AA907" s="40"/>
      <c r="AB907" s="40"/>
      <c r="AC907" s="40"/>
      <c r="AD907" s="40"/>
      <c r="AE907" s="40"/>
      <c r="AF907" s="40"/>
      <c r="AG907" s="40"/>
      <c r="AH907" s="40"/>
      <c r="AI907" s="40"/>
      <c r="AJ907" s="40"/>
      <c r="AK907" s="40"/>
      <c r="AL907" s="40"/>
      <c r="AM907" s="40"/>
      <c r="AN907" s="40"/>
      <c r="AO907" s="40"/>
      <c r="AP907" s="40"/>
    </row>
    <row r="908" spans="2:42" x14ac:dyDescent="0.2">
      <c r="B908" s="40"/>
      <c r="C908" s="40"/>
      <c r="D908" s="40"/>
      <c r="E908" s="40"/>
      <c r="F908" s="40"/>
      <c r="G908" s="40"/>
      <c r="H908" s="40"/>
      <c r="I908" s="40"/>
      <c r="J908" s="40"/>
      <c r="K908" s="40"/>
      <c r="L908" s="40"/>
      <c r="M908" s="40"/>
      <c r="N908" s="40"/>
      <c r="O908" s="40"/>
      <c r="P908" s="40"/>
      <c r="Q908" s="40"/>
      <c r="R908" s="40"/>
      <c r="S908" s="40"/>
      <c r="T908" s="40"/>
      <c r="U908" s="40"/>
      <c r="V908" s="40"/>
      <c r="W908" s="40"/>
      <c r="X908" s="40"/>
      <c r="Y908" s="40"/>
      <c r="Z908" s="40"/>
      <c r="AA908" s="40"/>
      <c r="AB908" s="40"/>
      <c r="AC908" s="40"/>
      <c r="AD908" s="40"/>
      <c r="AE908" s="40"/>
      <c r="AF908" s="40"/>
      <c r="AG908" s="40"/>
      <c r="AH908" s="40"/>
      <c r="AI908" s="40"/>
      <c r="AJ908" s="40"/>
      <c r="AK908" s="40"/>
      <c r="AL908" s="40"/>
      <c r="AM908" s="40"/>
      <c r="AN908" s="40"/>
      <c r="AO908" s="40"/>
      <c r="AP908" s="40"/>
    </row>
    <row r="909" spans="2:42" x14ac:dyDescent="0.2">
      <c r="B909" s="40"/>
      <c r="C909" s="40"/>
      <c r="D909" s="40"/>
      <c r="E909" s="40"/>
      <c r="F909" s="40"/>
      <c r="G909" s="40"/>
      <c r="H909" s="40"/>
      <c r="I909" s="40"/>
      <c r="J909" s="40"/>
      <c r="K909" s="40"/>
      <c r="L909" s="40"/>
      <c r="M909" s="40"/>
      <c r="N909" s="40"/>
      <c r="O909" s="40"/>
      <c r="P909" s="40"/>
      <c r="Q909" s="40"/>
      <c r="R909" s="40"/>
      <c r="S909" s="40"/>
      <c r="T909" s="40"/>
      <c r="U909" s="40"/>
      <c r="V909" s="40"/>
      <c r="W909" s="40"/>
      <c r="X909" s="40"/>
      <c r="Y909" s="40"/>
      <c r="Z909" s="40"/>
      <c r="AA909" s="40"/>
      <c r="AB909" s="40"/>
      <c r="AC909" s="40"/>
      <c r="AD909" s="40"/>
      <c r="AE909" s="40"/>
      <c r="AF909" s="40"/>
      <c r="AG909" s="40"/>
      <c r="AH909" s="40"/>
      <c r="AI909" s="40"/>
      <c r="AJ909" s="40"/>
      <c r="AK909" s="40"/>
      <c r="AL909" s="40"/>
      <c r="AM909" s="40"/>
      <c r="AN909" s="40"/>
      <c r="AO909" s="40"/>
      <c r="AP909" s="40"/>
    </row>
    <row r="910" spans="2:42" x14ac:dyDescent="0.2">
      <c r="B910" s="40"/>
      <c r="C910" s="40"/>
      <c r="D910" s="40"/>
      <c r="E910" s="40"/>
      <c r="F910" s="40"/>
      <c r="G910" s="40"/>
      <c r="H910" s="40"/>
      <c r="I910" s="40"/>
      <c r="J910" s="40"/>
      <c r="K910" s="40"/>
      <c r="L910" s="40"/>
      <c r="M910" s="40"/>
      <c r="N910" s="40"/>
      <c r="O910" s="40"/>
      <c r="P910" s="40"/>
      <c r="Q910" s="40"/>
      <c r="R910" s="40"/>
      <c r="S910" s="40"/>
      <c r="T910" s="40"/>
      <c r="U910" s="40"/>
      <c r="V910" s="40"/>
      <c r="W910" s="40"/>
      <c r="X910" s="40"/>
      <c r="Y910" s="40"/>
      <c r="Z910" s="40"/>
      <c r="AA910" s="40"/>
      <c r="AB910" s="40"/>
      <c r="AC910" s="40"/>
      <c r="AD910" s="40"/>
      <c r="AE910" s="40"/>
      <c r="AF910" s="40"/>
      <c r="AG910" s="40"/>
      <c r="AH910" s="40"/>
      <c r="AI910" s="40"/>
      <c r="AJ910" s="40"/>
      <c r="AK910" s="40"/>
      <c r="AL910" s="40"/>
      <c r="AM910" s="40"/>
      <c r="AN910" s="40"/>
      <c r="AO910" s="40"/>
      <c r="AP910" s="40"/>
    </row>
    <row r="911" spans="2:42" x14ac:dyDescent="0.2">
      <c r="B911" s="40"/>
      <c r="C911" s="40"/>
      <c r="D911" s="40"/>
      <c r="E911" s="40"/>
      <c r="F911" s="40"/>
      <c r="G911" s="40"/>
      <c r="H911" s="40"/>
      <c r="I911" s="40"/>
      <c r="J911" s="40"/>
      <c r="K911" s="40"/>
      <c r="L911" s="40"/>
      <c r="M911" s="40"/>
      <c r="N911" s="40"/>
      <c r="O911" s="40"/>
      <c r="P911" s="40"/>
      <c r="Q911" s="40"/>
      <c r="R911" s="40"/>
      <c r="S911" s="40"/>
      <c r="T911" s="40"/>
      <c r="U911" s="40"/>
      <c r="V911" s="40"/>
      <c r="W911" s="40"/>
      <c r="X911" s="40"/>
      <c r="Y911" s="40"/>
      <c r="Z911" s="40"/>
      <c r="AA911" s="40"/>
      <c r="AB911" s="40"/>
      <c r="AC911" s="40"/>
      <c r="AD911" s="40"/>
      <c r="AE911" s="40"/>
      <c r="AF911" s="40"/>
      <c r="AG911" s="40"/>
      <c r="AH911" s="40"/>
      <c r="AI911" s="40"/>
      <c r="AJ911" s="40"/>
      <c r="AK911" s="40"/>
      <c r="AL911" s="40"/>
      <c r="AM911" s="40"/>
      <c r="AN911" s="40"/>
      <c r="AO911" s="40"/>
      <c r="AP911" s="40"/>
    </row>
    <row r="912" spans="2:42" x14ac:dyDescent="0.2">
      <c r="B912" s="40"/>
      <c r="C912" s="40"/>
      <c r="D912" s="40"/>
      <c r="E912" s="40"/>
      <c r="F912" s="40"/>
      <c r="G912" s="40"/>
      <c r="H912" s="40"/>
      <c r="I912" s="40"/>
      <c r="J912" s="40"/>
      <c r="K912" s="40"/>
      <c r="L912" s="40"/>
      <c r="M912" s="40"/>
      <c r="N912" s="40"/>
      <c r="O912" s="40"/>
      <c r="P912" s="40"/>
      <c r="Q912" s="40"/>
      <c r="R912" s="40"/>
      <c r="S912" s="40"/>
      <c r="T912" s="40"/>
      <c r="U912" s="40"/>
      <c r="V912" s="40"/>
      <c r="W912" s="40"/>
      <c r="X912" s="40"/>
      <c r="Y912" s="40"/>
      <c r="Z912" s="40"/>
      <c r="AA912" s="40"/>
      <c r="AB912" s="40"/>
      <c r="AC912" s="40"/>
      <c r="AD912" s="40"/>
      <c r="AE912" s="40"/>
      <c r="AF912" s="40"/>
      <c r="AG912" s="40"/>
      <c r="AH912" s="40"/>
      <c r="AI912" s="40"/>
      <c r="AJ912" s="40"/>
      <c r="AK912" s="40"/>
      <c r="AL912" s="40"/>
      <c r="AM912" s="40"/>
      <c r="AN912" s="40"/>
      <c r="AO912" s="40"/>
      <c r="AP912" s="40"/>
    </row>
    <row r="913" spans="2:42" x14ac:dyDescent="0.2">
      <c r="B913" s="40"/>
      <c r="C913" s="40"/>
      <c r="D913" s="40"/>
      <c r="E913" s="40"/>
      <c r="F913" s="40"/>
      <c r="G913" s="40"/>
      <c r="H913" s="40"/>
      <c r="I913" s="40"/>
      <c r="J913" s="40"/>
      <c r="K913" s="40"/>
      <c r="L913" s="40"/>
      <c r="M913" s="40"/>
      <c r="N913" s="40"/>
      <c r="O913" s="40"/>
      <c r="P913" s="40"/>
      <c r="Q913" s="40"/>
      <c r="R913" s="40"/>
      <c r="S913" s="40"/>
      <c r="T913" s="40"/>
      <c r="U913" s="40"/>
      <c r="V913" s="40"/>
      <c r="W913" s="40"/>
      <c r="X913" s="40"/>
      <c r="Y913" s="40"/>
      <c r="Z913" s="40"/>
      <c r="AA913" s="40"/>
      <c r="AB913" s="40"/>
      <c r="AC913" s="40"/>
      <c r="AD913" s="40"/>
      <c r="AE913" s="40"/>
      <c r="AF913" s="40"/>
      <c r="AG913" s="40"/>
      <c r="AH913" s="40"/>
      <c r="AI913" s="40"/>
      <c r="AJ913" s="40"/>
      <c r="AK913" s="40"/>
      <c r="AL913" s="40"/>
      <c r="AM913" s="40"/>
      <c r="AN913" s="40"/>
      <c r="AO913" s="40"/>
      <c r="AP913" s="40"/>
    </row>
    <row r="914" spans="2:42" x14ac:dyDescent="0.2">
      <c r="B914" s="40"/>
      <c r="C914" s="40"/>
      <c r="D914" s="40"/>
      <c r="E914" s="40"/>
      <c r="F914" s="40"/>
      <c r="G914" s="40"/>
      <c r="H914" s="40"/>
      <c r="I914" s="40"/>
      <c r="J914" s="40"/>
      <c r="K914" s="40"/>
      <c r="L914" s="40"/>
      <c r="M914" s="40"/>
      <c r="N914" s="40"/>
      <c r="O914" s="40"/>
      <c r="P914" s="40"/>
      <c r="Q914" s="40"/>
      <c r="R914" s="40"/>
      <c r="S914" s="40"/>
      <c r="T914" s="40"/>
      <c r="U914" s="40"/>
      <c r="V914" s="40"/>
      <c r="W914" s="40"/>
      <c r="X914" s="40"/>
      <c r="Y914" s="40"/>
      <c r="Z914" s="40"/>
      <c r="AA914" s="40"/>
      <c r="AB914" s="40"/>
      <c r="AC914" s="40"/>
      <c r="AD914" s="40"/>
      <c r="AE914" s="40"/>
      <c r="AF914" s="40"/>
      <c r="AG914" s="40"/>
      <c r="AH914" s="40"/>
      <c r="AI914" s="40"/>
      <c r="AJ914" s="40"/>
      <c r="AK914" s="40"/>
      <c r="AL914" s="40"/>
      <c r="AM914" s="40"/>
      <c r="AN914" s="40"/>
      <c r="AO914" s="40"/>
      <c r="AP914" s="40"/>
    </row>
    <row r="915" spans="2:42" x14ac:dyDescent="0.2">
      <c r="B915" s="40"/>
      <c r="C915" s="40"/>
      <c r="D915" s="40"/>
      <c r="E915" s="40"/>
      <c r="F915" s="40"/>
      <c r="G915" s="40"/>
      <c r="H915" s="40"/>
      <c r="I915" s="40"/>
      <c r="J915" s="40"/>
      <c r="K915" s="40"/>
      <c r="L915" s="40"/>
      <c r="M915" s="40"/>
      <c r="N915" s="40"/>
      <c r="O915" s="40"/>
      <c r="P915" s="40"/>
      <c r="Q915" s="40"/>
      <c r="R915" s="40"/>
      <c r="S915" s="40"/>
      <c r="T915" s="40"/>
      <c r="U915" s="40"/>
      <c r="V915" s="40"/>
      <c r="W915" s="40"/>
      <c r="X915" s="40"/>
      <c r="Y915" s="40"/>
      <c r="Z915" s="40"/>
      <c r="AA915" s="40"/>
      <c r="AB915" s="40"/>
      <c r="AC915" s="40"/>
      <c r="AD915" s="40"/>
      <c r="AE915" s="40"/>
      <c r="AF915" s="40"/>
      <c r="AG915" s="40"/>
      <c r="AH915" s="40"/>
      <c r="AI915" s="40"/>
      <c r="AJ915" s="40"/>
      <c r="AK915" s="40"/>
      <c r="AL915" s="40"/>
      <c r="AM915" s="40"/>
      <c r="AN915" s="40"/>
      <c r="AO915" s="40"/>
      <c r="AP915" s="40"/>
    </row>
    <row r="916" spans="2:42" x14ac:dyDescent="0.2">
      <c r="B916" s="40"/>
      <c r="C916" s="40"/>
      <c r="D916" s="40"/>
      <c r="E916" s="40"/>
      <c r="F916" s="40"/>
      <c r="G916" s="40"/>
      <c r="H916" s="40"/>
      <c r="I916" s="40"/>
      <c r="J916" s="40"/>
      <c r="K916" s="40"/>
      <c r="L916" s="40"/>
      <c r="M916" s="40"/>
      <c r="N916" s="40"/>
      <c r="O916" s="40"/>
      <c r="P916" s="40"/>
      <c r="Q916" s="40"/>
      <c r="R916" s="40"/>
      <c r="S916" s="40"/>
      <c r="T916" s="40"/>
      <c r="U916" s="40"/>
      <c r="V916" s="40"/>
      <c r="W916" s="40"/>
      <c r="X916" s="40"/>
      <c r="Y916" s="40"/>
      <c r="Z916" s="40"/>
      <c r="AA916" s="40"/>
      <c r="AB916" s="40"/>
      <c r="AC916" s="40"/>
      <c r="AD916" s="40"/>
      <c r="AE916" s="40"/>
      <c r="AF916" s="40"/>
      <c r="AG916" s="40"/>
      <c r="AH916" s="40"/>
      <c r="AI916" s="40"/>
      <c r="AJ916" s="40"/>
      <c r="AK916" s="40"/>
      <c r="AL916" s="40"/>
      <c r="AM916" s="40"/>
      <c r="AN916" s="40"/>
      <c r="AO916" s="40"/>
      <c r="AP916" s="40"/>
    </row>
    <row r="917" spans="2:42" x14ac:dyDescent="0.2">
      <c r="B917" s="40"/>
      <c r="C917" s="40"/>
      <c r="D917" s="40"/>
      <c r="E917" s="40"/>
      <c r="F917" s="40"/>
      <c r="G917" s="40"/>
      <c r="H917" s="40"/>
      <c r="I917" s="40"/>
      <c r="J917" s="40"/>
      <c r="K917" s="40"/>
      <c r="L917" s="40"/>
      <c r="M917" s="40"/>
      <c r="N917" s="40"/>
      <c r="O917" s="40"/>
      <c r="P917" s="40"/>
      <c r="Q917" s="40"/>
      <c r="R917" s="40"/>
      <c r="S917" s="40"/>
      <c r="T917" s="40"/>
      <c r="U917" s="40"/>
      <c r="V917" s="40"/>
      <c r="W917" s="40"/>
      <c r="X917" s="40"/>
      <c r="Y917" s="40"/>
      <c r="Z917" s="40"/>
      <c r="AA917" s="40"/>
      <c r="AB917" s="40"/>
      <c r="AC917" s="40"/>
      <c r="AD917" s="40"/>
      <c r="AE917" s="40"/>
      <c r="AF917" s="40"/>
      <c r="AG917" s="40"/>
      <c r="AH917" s="40"/>
      <c r="AI917" s="40"/>
      <c r="AJ917" s="40"/>
      <c r="AK917" s="40"/>
      <c r="AL917" s="40"/>
      <c r="AM917" s="40"/>
      <c r="AN917" s="40"/>
      <c r="AO917" s="40"/>
      <c r="AP917" s="40"/>
    </row>
    <row r="918" spans="2:42" x14ac:dyDescent="0.2">
      <c r="B918" s="40"/>
      <c r="C918" s="40"/>
      <c r="D918" s="40"/>
      <c r="E918" s="40"/>
      <c r="F918" s="40"/>
      <c r="G918" s="40"/>
      <c r="H918" s="40"/>
      <c r="I918" s="40"/>
      <c r="J918" s="40"/>
      <c r="K918" s="40"/>
      <c r="L918" s="40"/>
      <c r="M918" s="40"/>
      <c r="N918" s="40"/>
      <c r="O918" s="40"/>
      <c r="P918" s="40"/>
      <c r="Q918" s="40"/>
      <c r="R918" s="40"/>
      <c r="S918" s="40"/>
      <c r="T918" s="40"/>
      <c r="U918" s="40"/>
      <c r="V918" s="40"/>
      <c r="W918" s="40"/>
      <c r="X918" s="40"/>
      <c r="Y918" s="40"/>
      <c r="Z918" s="40"/>
      <c r="AA918" s="40"/>
      <c r="AB918" s="40"/>
      <c r="AC918" s="40"/>
      <c r="AD918" s="40"/>
      <c r="AE918" s="40"/>
      <c r="AF918" s="40"/>
      <c r="AG918" s="40"/>
      <c r="AH918" s="40"/>
      <c r="AI918" s="40"/>
      <c r="AJ918" s="40"/>
      <c r="AK918" s="40"/>
      <c r="AL918" s="40"/>
      <c r="AM918" s="40"/>
      <c r="AN918" s="40"/>
      <c r="AO918" s="40"/>
      <c r="AP918" s="40"/>
    </row>
    <row r="919" spans="2:42" x14ac:dyDescent="0.2">
      <c r="B919" s="40"/>
      <c r="C919" s="40"/>
      <c r="D919" s="40"/>
      <c r="E919" s="40"/>
      <c r="F919" s="40"/>
      <c r="G919" s="40"/>
      <c r="H919" s="40"/>
      <c r="I919" s="40"/>
      <c r="J919" s="40"/>
      <c r="K919" s="40"/>
      <c r="L919" s="40"/>
      <c r="M919" s="40"/>
      <c r="N919" s="40"/>
      <c r="O919" s="40"/>
      <c r="P919" s="40"/>
      <c r="Q919" s="40"/>
      <c r="R919" s="40"/>
      <c r="S919" s="40"/>
      <c r="T919" s="40"/>
      <c r="U919" s="40"/>
      <c r="V919" s="40"/>
      <c r="W919" s="40"/>
      <c r="X919" s="40"/>
      <c r="Y919" s="40"/>
      <c r="Z919" s="40"/>
      <c r="AA919" s="40"/>
      <c r="AB919" s="40"/>
      <c r="AC919" s="40"/>
      <c r="AD919" s="40"/>
      <c r="AE919" s="40"/>
      <c r="AF919" s="40"/>
      <c r="AG919" s="40"/>
      <c r="AH919" s="40"/>
      <c r="AI919" s="40"/>
      <c r="AJ919" s="40"/>
      <c r="AK919" s="40"/>
      <c r="AL919" s="40"/>
      <c r="AM919" s="40"/>
      <c r="AN919" s="40"/>
      <c r="AO919" s="40"/>
      <c r="AP919" s="40"/>
    </row>
    <row r="920" spans="2:42" x14ac:dyDescent="0.2">
      <c r="B920" s="40"/>
      <c r="C920" s="40"/>
      <c r="D920" s="40"/>
      <c r="E920" s="40"/>
      <c r="F920" s="40"/>
      <c r="G920" s="40"/>
      <c r="H920" s="40"/>
      <c r="I920" s="40"/>
      <c r="J920" s="40"/>
      <c r="K920" s="40"/>
      <c r="L920" s="40"/>
      <c r="M920" s="40"/>
      <c r="N920" s="40"/>
      <c r="O920" s="40"/>
      <c r="P920" s="40"/>
      <c r="Q920" s="40"/>
      <c r="R920" s="40"/>
      <c r="S920" s="40"/>
      <c r="T920" s="40"/>
      <c r="U920" s="40"/>
      <c r="V920" s="40"/>
      <c r="W920" s="40"/>
      <c r="X920" s="40"/>
      <c r="Y920" s="40"/>
      <c r="Z920" s="40"/>
      <c r="AA920" s="40"/>
      <c r="AB920" s="40"/>
      <c r="AC920" s="40"/>
      <c r="AD920" s="40"/>
      <c r="AE920" s="40"/>
      <c r="AF920" s="40"/>
      <c r="AG920" s="40"/>
      <c r="AH920" s="40"/>
      <c r="AI920" s="40"/>
      <c r="AJ920" s="40"/>
      <c r="AK920" s="40"/>
      <c r="AL920" s="40"/>
      <c r="AM920" s="40"/>
      <c r="AN920" s="40"/>
      <c r="AO920" s="40"/>
      <c r="AP920" s="40"/>
    </row>
    <row r="921" spans="2:42" x14ac:dyDescent="0.2">
      <c r="B921" s="40"/>
      <c r="C921" s="40"/>
      <c r="D921" s="40"/>
      <c r="E921" s="40"/>
      <c r="F921" s="40"/>
      <c r="G921" s="40"/>
      <c r="H921" s="40"/>
      <c r="I921" s="40"/>
      <c r="J921" s="40"/>
      <c r="K921" s="40"/>
      <c r="L921" s="40"/>
      <c r="M921" s="40"/>
      <c r="N921" s="40"/>
      <c r="O921" s="40"/>
      <c r="P921" s="40"/>
      <c r="Q921" s="40"/>
      <c r="R921" s="40"/>
      <c r="S921" s="40"/>
      <c r="T921" s="40"/>
      <c r="U921" s="40"/>
      <c r="V921" s="40"/>
      <c r="W921" s="40"/>
      <c r="X921" s="40"/>
      <c r="Y921" s="40"/>
      <c r="Z921" s="40"/>
      <c r="AA921" s="40"/>
      <c r="AB921" s="40"/>
      <c r="AC921" s="40"/>
      <c r="AD921" s="40"/>
      <c r="AE921" s="40"/>
      <c r="AF921" s="40"/>
      <c r="AG921" s="40"/>
      <c r="AH921" s="40"/>
      <c r="AI921" s="40"/>
      <c r="AJ921" s="40"/>
      <c r="AK921" s="40"/>
      <c r="AL921" s="40"/>
      <c r="AM921" s="40"/>
      <c r="AN921" s="40"/>
      <c r="AO921" s="40"/>
      <c r="AP921" s="40"/>
    </row>
    <row r="922" spans="2:42" x14ac:dyDescent="0.2">
      <c r="B922" s="40"/>
      <c r="C922" s="40"/>
      <c r="D922" s="40"/>
      <c r="E922" s="40"/>
      <c r="F922" s="40"/>
      <c r="G922" s="40"/>
      <c r="H922" s="40"/>
      <c r="I922" s="40"/>
      <c r="J922" s="40"/>
      <c r="K922" s="40"/>
      <c r="L922" s="40"/>
      <c r="M922" s="40"/>
      <c r="N922" s="40"/>
      <c r="O922" s="40"/>
      <c r="P922" s="40"/>
      <c r="Q922" s="40"/>
      <c r="R922" s="40"/>
      <c r="S922" s="40"/>
      <c r="T922" s="40"/>
      <c r="U922" s="40"/>
      <c r="V922" s="40"/>
      <c r="W922" s="40"/>
      <c r="X922" s="40"/>
      <c r="Y922" s="40"/>
      <c r="Z922" s="40"/>
      <c r="AA922" s="40"/>
      <c r="AB922" s="40"/>
      <c r="AC922" s="40"/>
      <c r="AD922" s="40"/>
      <c r="AE922" s="40"/>
      <c r="AF922" s="40"/>
      <c r="AG922" s="40"/>
      <c r="AH922" s="40"/>
      <c r="AI922" s="40"/>
      <c r="AJ922" s="40"/>
      <c r="AK922" s="40"/>
      <c r="AL922" s="40"/>
      <c r="AM922" s="40"/>
      <c r="AN922" s="40"/>
      <c r="AO922" s="40"/>
      <c r="AP922" s="40"/>
    </row>
    <row r="923" spans="2:42" x14ac:dyDescent="0.2">
      <c r="B923" s="40"/>
      <c r="C923" s="40"/>
      <c r="D923" s="40"/>
      <c r="E923" s="40"/>
      <c r="F923" s="40"/>
      <c r="G923" s="40"/>
      <c r="H923" s="40"/>
      <c r="I923" s="40"/>
      <c r="J923" s="40"/>
      <c r="K923" s="40"/>
      <c r="L923" s="40"/>
      <c r="M923" s="40"/>
      <c r="N923" s="40"/>
      <c r="O923" s="40"/>
      <c r="P923" s="40"/>
      <c r="Q923" s="40"/>
      <c r="R923" s="40"/>
      <c r="S923" s="40"/>
      <c r="T923" s="40"/>
      <c r="U923" s="40"/>
      <c r="V923" s="40"/>
      <c r="W923" s="40"/>
      <c r="X923" s="40"/>
      <c r="Y923" s="40"/>
      <c r="Z923" s="40"/>
      <c r="AA923" s="40"/>
      <c r="AB923" s="40"/>
      <c r="AC923" s="40"/>
      <c r="AD923" s="40"/>
      <c r="AE923" s="40"/>
      <c r="AF923" s="40"/>
      <c r="AG923" s="40"/>
      <c r="AH923" s="40"/>
      <c r="AI923" s="40"/>
      <c r="AJ923" s="40"/>
      <c r="AK923" s="40"/>
      <c r="AL923" s="40"/>
      <c r="AM923" s="40"/>
      <c r="AN923" s="40"/>
      <c r="AO923" s="40"/>
      <c r="AP923" s="40"/>
    </row>
    <row r="924" spans="2:42" x14ac:dyDescent="0.2">
      <c r="B924" s="40"/>
      <c r="C924" s="40"/>
      <c r="D924" s="40"/>
      <c r="E924" s="40"/>
      <c r="F924" s="40"/>
      <c r="G924" s="40"/>
      <c r="H924" s="40"/>
      <c r="I924" s="40"/>
      <c r="J924" s="40"/>
      <c r="K924" s="40"/>
      <c r="L924" s="40"/>
      <c r="M924" s="40"/>
      <c r="N924" s="40"/>
      <c r="O924" s="40"/>
      <c r="P924" s="40"/>
      <c r="Q924" s="40"/>
      <c r="R924" s="40"/>
      <c r="S924" s="40"/>
      <c r="T924" s="40"/>
      <c r="U924" s="40"/>
      <c r="V924" s="40"/>
      <c r="W924" s="40"/>
      <c r="X924" s="40"/>
      <c r="Y924" s="40"/>
      <c r="Z924" s="40"/>
      <c r="AA924" s="40"/>
      <c r="AB924" s="40"/>
      <c r="AC924" s="40"/>
      <c r="AD924" s="40"/>
      <c r="AE924" s="40"/>
      <c r="AF924" s="40"/>
      <c r="AG924" s="40"/>
      <c r="AH924" s="40"/>
      <c r="AI924" s="40"/>
      <c r="AJ924" s="40"/>
      <c r="AK924" s="40"/>
      <c r="AL924" s="40"/>
      <c r="AM924" s="40"/>
      <c r="AN924" s="40"/>
      <c r="AO924" s="40"/>
      <c r="AP924" s="40"/>
    </row>
  </sheetData>
  <sheetProtection formatCells="0" formatColumns="0" formatRows="0" insertColumns="0" insertRows="0" insertHyperlinks="0" deleteColumns="0" deleteRows="0" sort="0" autoFilter="0" pivotTables="0"/>
  <mergeCells count="75">
    <mergeCell ref="AC37:AD37"/>
    <mergeCell ref="AE37:AF37"/>
    <mergeCell ref="AG37:AH37"/>
    <mergeCell ref="AI37:AJ37"/>
    <mergeCell ref="AK37:AL37"/>
    <mergeCell ref="AM4:AN4"/>
    <mergeCell ref="AO4:AP4"/>
    <mergeCell ref="AQ4:AR4"/>
    <mergeCell ref="AO26:AP26"/>
    <mergeCell ref="AQ26:AR26"/>
    <mergeCell ref="S26:T26"/>
    <mergeCell ref="U26:V26"/>
    <mergeCell ref="W26:X26"/>
    <mergeCell ref="AM15:AN15"/>
    <mergeCell ref="AO15:AP15"/>
    <mergeCell ref="Y26:Z26"/>
    <mergeCell ref="AA26:AB26"/>
    <mergeCell ref="AC26:AD26"/>
    <mergeCell ref="AE26:AF26"/>
    <mergeCell ref="AG26:AH26"/>
    <mergeCell ref="AI26:AJ26"/>
    <mergeCell ref="S4:T4"/>
    <mergeCell ref="U4:V4"/>
    <mergeCell ref="W4:X4"/>
    <mergeCell ref="U15:V15"/>
    <mergeCell ref="W15:X15"/>
    <mergeCell ref="BC26:BD26"/>
    <mergeCell ref="AS26:AT26"/>
    <mergeCell ref="AU26:AV26"/>
    <mergeCell ref="AW26:AX26"/>
    <mergeCell ref="AY26:AZ26"/>
    <mergeCell ref="BA26:BB26"/>
    <mergeCell ref="AY15:AZ15"/>
    <mergeCell ref="BA15:BB15"/>
    <mergeCell ref="BC15:BD15"/>
    <mergeCell ref="S25:X25"/>
    <mergeCell ref="Y25:AD25"/>
    <mergeCell ref="AE25:AJ25"/>
    <mergeCell ref="AW15:AX15"/>
    <mergeCell ref="AM25:AR25"/>
    <mergeCell ref="AS25:AX25"/>
    <mergeCell ref="AY25:BD25"/>
    <mergeCell ref="AQ15:AR15"/>
    <mergeCell ref="BC4:BD4"/>
    <mergeCell ref="S14:X14"/>
    <mergeCell ref="Y14:AD14"/>
    <mergeCell ref="AE14:AJ14"/>
    <mergeCell ref="Y15:Z15"/>
    <mergeCell ref="AA15:AB15"/>
    <mergeCell ref="AC15:AD15"/>
    <mergeCell ref="AE15:AF15"/>
    <mergeCell ref="AG15:AH15"/>
    <mergeCell ref="AI15:AJ15"/>
    <mergeCell ref="AM14:AR14"/>
    <mergeCell ref="AS14:AX14"/>
    <mergeCell ref="AY14:BD14"/>
    <mergeCell ref="AS15:AT15"/>
    <mergeCell ref="AU15:AV15"/>
    <mergeCell ref="AA4:AB4"/>
    <mergeCell ref="AC4:AD4"/>
    <mergeCell ref="AG4:AH4"/>
    <mergeCell ref="AI4:AJ4"/>
    <mergeCell ref="Y4:Z4"/>
    <mergeCell ref="AE4:AF4"/>
    <mergeCell ref="AS4:AT4"/>
    <mergeCell ref="AU4:AV4"/>
    <mergeCell ref="AW4:AX4"/>
    <mergeCell ref="AY4:AZ4"/>
    <mergeCell ref="BA4:BB4"/>
    <mergeCell ref="AM3:AR3"/>
    <mergeCell ref="S3:X3"/>
    <mergeCell ref="AS3:AX3"/>
    <mergeCell ref="AY3:BD3"/>
    <mergeCell ref="Y3:AD3"/>
    <mergeCell ref="AE3:AJ3"/>
  </mergeCells>
  <phoneticPr fontId="12" type="noConversion"/>
  <conditionalFormatting sqref="C10 C5 C8:E9 H3:H86 D3:E86">
    <cfRule type="containsText" dxfId="49" priority="186" operator="containsText" text="No">
      <formula>NOT(ISERROR(SEARCH("No",C3)))</formula>
    </cfRule>
  </conditionalFormatting>
  <conditionalFormatting sqref="H3:H86 C3:E86">
    <cfRule type="containsText" dxfId="48" priority="185" operator="containsText" text="No">
      <formula>NOT(ISERROR(SEARCH("No",C3)))</formula>
    </cfRule>
  </conditionalFormatting>
  <conditionalFormatting sqref="C3:C86">
    <cfRule type="containsText" dxfId="47" priority="184" operator="containsText" text="Yes">
      <formula>NOT(ISERROR(SEARCH("Yes",C3)))</formula>
    </cfRule>
  </conditionalFormatting>
  <conditionalFormatting sqref="F3:K86">
    <cfRule type="containsText" dxfId="46" priority="182" operator="containsText" text="Yes">
      <formula>NOT(ISERROR(SEARCH("Yes",F3)))</formula>
    </cfRule>
    <cfRule type="containsText" dxfId="45" priority="183" operator="containsText" text="No">
      <formula>NOT(ISERROR(SEARCH("No",F3)))</formula>
    </cfRule>
  </conditionalFormatting>
  <conditionalFormatting sqref="C19">
    <cfRule type="containsText" dxfId="44" priority="106" operator="containsText" text="Yes">
      <formula>NOT(ISERROR(SEARCH("Yes",C19)))</formula>
    </cfRule>
  </conditionalFormatting>
  <conditionalFormatting sqref="C21">
    <cfRule type="containsText" dxfId="43" priority="92" operator="containsText" text="Yes">
      <formula>NOT(ISERROR(SEARCH("Yes",C21)))</formula>
    </cfRule>
  </conditionalFormatting>
  <conditionalFormatting sqref="C4">
    <cfRule type="containsText" dxfId="42" priority="58" operator="containsText" text="Yes">
      <formula>NOT(ISERROR(SEARCH("Yes",C4)))</formula>
    </cfRule>
  </conditionalFormatting>
  <conditionalFormatting sqref="C5">
    <cfRule type="containsText" dxfId="41" priority="53" operator="containsText" text="Yes">
      <formula>NOT(ISERROR(SEARCH("Yes",C5)))</formula>
    </cfRule>
  </conditionalFormatting>
  <conditionalFormatting sqref="C3:C13">
    <cfRule type="containsText" dxfId="40" priority="48" operator="containsText" text="Yes">
      <formula>NOT(ISERROR(SEARCH("Yes",C3)))</formula>
    </cfRule>
  </conditionalFormatting>
  <conditionalFormatting sqref="C6">
    <cfRule type="containsText" dxfId="39" priority="43" operator="containsText" text="Yes">
      <formula>NOT(ISERROR(SEARCH("Yes",C6)))</formula>
    </cfRule>
  </conditionalFormatting>
  <conditionalFormatting sqref="C7">
    <cfRule type="containsText" dxfId="38" priority="38" operator="containsText" text="Yes">
      <formula>NOT(ISERROR(SEARCH("Yes",C7)))</formula>
    </cfRule>
  </conditionalFormatting>
  <conditionalFormatting sqref="C8:C9">
    <cfRule type="containsText" dxfId="37" priority="33" operator="containsText" text="Yes">
      <formula>NOT(ISERROR(SEARCH("Yes",C8)))</formula>
    </cfRule>
  </conditionalFormatting>
  <dataValidations count="1">
    <dataValidation type="list" allowBlank="1" showInputMessage="1" showErrorMessage="1" sqref="C3:C86 F3:F86 I3:I86" xr:uid="{63314F3F-B2FE-4083-A286-F26BC4D86D2E}">
      <formula1>"Yes, No"</formula1>
    </dataValidation>
  </dataValidations>
  <pageMargins left="0.70866141732283472" right="0.70866141732283472" top="0.74803149606299213" bottom="0.74803149606299213" header="0.31496062992125984" footer="0.31496062992125984"/>
  <pageSetup paperSize="9" scale="80" orientation="landscape" horizontalDpi="360" verticalDpi="360" r:id="rId1"/>
  <headerFooter>
    <oddHeader>&amp;LPhosphate Budget Calculator&amp;CData Tables</oddHeader>
    <oddFooter>&amp;LVersion 2.2&amp;R&amp;D</oddFooter>
  </headerFooter>
  <customProperties>
    <customPr name="SSC_SHEET_GUID" r:id="rId2"/>
  </customProperties>
  <tableParts count="3">
    <tablePart r:id="rId3"/>
    <tablePart r:id="rId4"/>
    <tablePart r:id="rId5"/>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1B447-6C93-4A3D-9E5B-B768C560CAA1}">
  <dimension ref="A1:E65"/>
  <sheetViews>
    <sheetView workbookViewId="0"/>
  </sheetViews>
  <sheetFormatPr defaultRowHeight="12.75" x14ac:dyDescent="0.2"/>
  <sheetData>
    <row r="1" spans="1:5" x14ac:dyDescent="0.2">
      <c r="A1" t="s">
        <v>156</v>
      </c>
      <c r="B1" t="s">
        <v>157</v>
      </c>
      <c r="C1" t="s">
        <v>508</v>
      </c>
      <c r="D1" t="s">
        <v>266</v>
      </c>
      <c r="E1" t="s">
        <v>155</v>
      </c>
    </row>
    <row r="2" spans="1:5" x14ac:dyDescent="0.2">
      <c r="A2" t="s">
        <v>158</v>
      </c>
      <c r="B2" t="s">
        <v>159</v>
      </c>
      <c r="C2" t="s">
        <v>509</v>
      </c>
    </row>
    <row r="3" spans="1:5" x14ac:dyDescent="0.2">
      <c r="A3" t="s">
        <v>160</v>
      </c>
      <c r="B3" t="s">
        <v>161</v>
      </c>
      <c r="C3" t="s">
        <v>256</v>
      </c>
    </row>
    <row r="4" spans="1:5" x14ac:dyDescent="0.2">
      <c r="A4" t="s">
        <v>162</v>
      </c>
      <c r="B4" t="s">
        <v>163</v>
      </c>
      <c r="C4" t="s">
        <v>257</v>
      </c>
    </row>
    <row r="5" spans="1:5" x14ac:dyDescent="0.2">
      <c r="A5" t="s">
        <v>164</v>
      </c>
      <c r="B5" t="s">
        <v>165</v>
      </c>
      <c r="C5" t="s">
        <v>258</v>
      </c>
    </row>
    <row r="6" spans="1:5" x14ac:dyDescent="0.2">
      <c r="A6" t="s">
        <v>166</v>
      </c>
      <c r="B6" t="s">
        <v>167</v>
      </c>
      <c r="C6" t="s">
        <v>259</v>
      </c>
    </row>
    <row r="7" spans="1:5" x14ac:dyDescent="0.2">
      <c r="A7" t="s">
        <v>168</v>
      </c>
      <c r="B7" t="s">
        <v>169</v>
      </c>
      <c r="C7" t="s">
        <v>260</v>
      </c>
    </row>
    <row r="8" spans="1:5" x14ac:dyDescent="0.2">
      <c r="A8" t="s">
        <v>170</v>
      </c>
      <c r="C8" t="s">
        <v>261</v>
      </c>
    </row>
    <row r="9" spans="1:5" x14ac:dyDescent="0.2">
      <c r="A9" t="s">
        <v>171</v>
      </c>
      <c r="C9" t="s">
        <v>262</v>
      </c>
    </row>
    <row r="10" spans="1:5" x14ac:dyDescent="0.2">
      <c r="A10" t="s">
        <v>172</v>
      </c>
      <c r="C10" t="s">
        <v>263</v>
      </c>
    </row>
    <row r="11" spans="1:5" x14ac:dyDescent="0.2">
      <c r="A11" t="s">
        <v>173</v>
      </c>
      <c r="C11" t="s">
        <v>510</v>
      </c>
    </row>
    <row r="12" spans="1:5" x14ac:dyDescent="0.2">
      <c r="A12" t="s">
        <v>174</v>
      </c>
      <c r="C12" t="s">
        <v>264</v>
      </c>
    </row>
    <row r="13" spans="1:5" x14ac:dyDescent="0.2">
      <c r="A13" t="s">
        <v>175</v>
      </c>
      <c r="C13" t="s">
        <v>265</v>
      </c>
    </row>
    <row r="14" spans="1:5" x14ac:dyDescent="0.2">
      <c r="A14" t="s">
        <v>176</v>
      </c>
    </row>
    <row r="15" spans="1:5" x14ac:dyDescent="0.2">
      <c r="A15" t="s">
        <v>177</v>
      </c>
    </row>
    <row r="16" spans="1:5" x14ac:dyDescent="0.2">
      <c r="A16" t="s">
        <v>178</v>
      </c>
    </row>
    <row r="17" spans="1:1" x14ac:dyDescent="0.2">
      <c r="A17" t="s">
        <v>179</v>
      </c>
    </row>
    <row r="18" spans="1:1" x14ac:dyDescent="0.2">
      <c r="A18" t="s">
        <v>180</v>
      </c>
    </row>
    <row r="19" spans="1:1" x14ac:dyDescent="0.2">
      <c r="A19" t="s">
        <v>181</v>
      </c>
    </row>
    <row r="20" spans="1:1" x14ac:dyDescent="0.2">
      <c r="A20" t="s">
        <v>182</v>
      </c>
    </row>
    <row r="21" spans="1:1" x14ac:dyDescent="0.2">
      <c r="A21" t="s">
        <v>183</v>
      </c>
    </row>
    <row r="22" spans="1:1" x14ac:dyDescent="0.2">
      <c r="A22" t="s">
        <v>184</v>
      </c>
    </row>
    <row r="23" spans="1:1" x14ac:dyDescent="0.2">
      <c r="A23" t="s">
        <v>185</v>
      </c>
    </row>
    <row r="24" spans="1:1" x14ac:dyDescent="0.2">
      <c r="A24" t="s">
        <v>186</v>
      </c>
    </row>
    <row r="25" spans="1:1" x14ac:dyDescent="0.2">
      <c r="A25" t="s">
        <v>187</v>
      </c>
    </row>
    <row r="26" spans="1:1" x14ac:dyDescent="0.2">
      <c r="A26" t="s">
        <v>188</v>
      </c>
    </row>
    <row r="27" spans="1:1" x14ac:dyDescent="0.2">
      <c r="A27" t="s">
        <v>189</v>
      </c>
    </row>
    <row r="28" spans="1:1" x14ac:dyDescent="0.2">
      <c r="A28" t="s">
        <v>190</v>
      </c>
    </row>
    <row r="29" spans="1:1" x14ac:dyDescent="0.2">
      <c r="A29" t="s">
        <v>191</v>
      </c>
    </row>
    <row r="30" spans="1:1" x14ac:dyDescent="0.2">
      <c r="A30" t="s">
        <v>192</v>
      </c>
    </row>
    <row r="31" spans="1:1" x14ac:dyDescent="0.2">
      <c r="A31" t="s">
        <v>193</v>
      </c>
    </row>
    <row r="32" spans="1:1" x14ac:dyDescent="0.2">
      <c r="A32" t="s">
        <v>194</v>
      </c>
    </row>
    <row r="33" spans="1:1" x14ac:dyDescent="0.2">
      <c r="A33" t="s">
        <v>195</v>
      </c>
    </row>
    <row r="34" spans="1:1" x14ac:dyDescent="0.2">
      <c r="A34" t="s">
        <v>196</v>
      </c>
    </row>
    <row r="35" spans="1:1" x14ac:dyDescent="0.2">
      <c r="A35" t="s">
        <v>197</v>
      </c>
    </row>
    <row r="36" spans="1:1" x14ac:dyDescent="0.2">
      <c r="A36" t="s">
        <v>198</v>
      </c>
    </row>
    <row r="37" spans="1:1" x14ac:dyDescent="0.2">
      <c r="A37" t="s">
        <v>199</v>
      </c>
    </row>
    <row r="38" spans="1:1" x14ac:dyDescent="0.2">
      <c r="A38" t="s">
        <v>200</v>
      </c>
    </row>
    <row r="39" spans="1:1" x14ac:dyDescent="0.2">
      <c r="A39" t="s">
        <v>201</v>
      </c>
    </row>
    <row r="40" spans="1:1" x14ac:dyDescent="0.2">
      <c r="A40" t="s">
        <v>202</v>
      </c>
    </row>
    <row r="41" spans="1:1" x14ac:dyDescent="0.2">
      <c r="A41" t="s">
        <v>203</v>
      </c>
    </row>
    <row r="42" spans="1:1" x14ac:dyDescent="0.2">
      <c r="A42" t="s">
        <v>204</v>
      </c>
    </row>
    <row r="43" spans="1:1" x14ac:dyDescent="0.2">
      <c r="A43" t="s">
        <v>205</v>
      </c>
    </row>
    <row r="44" spans="1:1" x14ac:dyDescent="0.2">
      <c r="A44" t="s">
        <v>206</v>
      </c>
    </row>
    <row r="45" spans="1:1" x14ac:dyDescent="0.2">
      <c r="A45" t="s">
        <v>207</v>
      </c>
    </row>
    <row r="46" spans="1:1" x14ac:dyDescent="0.2">
      <c r="A46" t="s">
        <v>208</v>
      </c>
    </row>
    <row r="47" spans="1:1" x14ac:dyDescent="0.2">
      <c r="A47" t="s">
        <v>209</v>
      </c>
    </row>
    <row r="48" spans="1:1" x14ac:dyDescent="0.2">
      <c r="A48" t="s">
        <v>210</v>
      </c>
    </row>
    <row r="49" spans="1:2" x14ac:dyDescent="0.2">
      <c r="A49" t="s">
        <v>211</v>
      </c>
    </row>
    <row r="50" spans="1:2" x14ac:dyDescent="0.2">
      <c r="A50" t="s">
        <v>212</v>
      </c>
    </row>
    <row r="51" spans="1:2" x14ac:dyDescent="0.2">
      <c r="A51" t="s">
        <v>213</v>
      </c>
    </row>
    <row r="52" spans="1:2" x14ac:dyDescent="0.2">
      <c r="A52" t="s">
        <v>214</v>
      </c>
    </row>
    <row r="53" spans="1:2" x14ac:dyDescent="0.2">
      <c r="A53" t="s">
        <v>215</v>
      </c>
    </row>
    <row r="54" spans="1:2" x14ac:dyDescent="0.2">
      <c r="A54" t="s">
        <v>216</v>
      </c>
    </row>
    <row r="55" spans="1:2" x14ac:dyDescent="0.2">
      <c r="A55" t="s">
        <v>217</v>
      </c>
    </row>
    <row r="56" spans="1:2" x14ac:dyDescent="0.2">
      <c r="A56" t="s">
        <v>218</v>
      </c>
    </row>
    <row r="57" spans="1:2" x14ac:dyDescent="0.2">
      <c r="A57" t="s">
        <v>219</v>
      </c>
    </row>
    <row r="58" spans="1:2" x14ac:dyDescent="0.2">
      <c r="A58" t="s">
        <v>220</v>
      </c>
    </row>
    <row r="59" spans="1:2" x14ac:dyDescent="0.2">
      <c r="A59" t="s">
        <v>221</v>
      </c>
    </row>
    <row r="60" spans="1:2" x14ac:dyDescent="0.2">
      <c r="A60" t="s">
        <v>222</v>
      </c>
    </row>
    <row r="61" spans="1:2" x14ac:dyDescent="0.2">
      <c r="A61" t="s">
        <v>223</v>
      </c>
    </row>
    <row r="62" spans="1:2" x14ac:dyDescent="0.2">
      <c r="A62" t="s">
        <v>224</v>
      </c>
    </row>
    <row r="63" spans="1:2" x14ac:dyDescent="0.2">
      <c r="A63" t="s">
        <v>225</v>
      </c>
      <c r="B63" t="s">
        <v>226</v>
      </c>
    </row>
    <row r="64" spans="1:2" x14ac:dyDescent="0.2">
      <c r="A64" t="s">
        <v>227</v>
      </c>
    </row>
    <row r="65" spans="1:2" x14ac:dyDescent="0.2">
      <c r="A65" t="s">
        <v>228</v>
      </c>
      <c r="B65" t="s">
        <v>229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E7634-7A0F-4CBC-8A91-EB26313C3D13}">
  <sheetPr>
    <tabColor theme="9" tint="0.79998168889431442"/>
    <pageSetUpPr fitToPage="1"/>
  </sheetPr>
  <dimension ref="A1:N17"/>
  <sheetViews>
    <sheetView tabSelected="1" zoomScale="115" zoomScaleNormal="115" workbookViewId="0">
      <selection activeCell="E6" sqref="E6:M6"/>
    </sheetView>
  </sheetViews>
  <sheetFormatPr defaultRowHeight="12.75" x14ac:dyDescent="0.2"/>
  <cols>
    <col min="2" max="2" width="1.140625" customWidth="1"/>
    <col min="3" max="3" width="6.85546875" customWidth="1"/>
    <col min="4" max="4" width="7.5703125" customWidth="1"/>
    <col min="6" max="6" width="10.5703125" customWidth="1"/>
    <col min="13" max="13" width="16.5703125" customWidth="1"/>
    <col min="14" max="14" width="1.42578125" customWidth="1"/>
  </cols>
  <sheetData>
    <row r="1" spans="1:14" x14ac:dyDescent="0.2">
      <c r="A1" s="40" t="s">
        <v>599</v>
      </c>
    </row>
    <row r="2" spans="1:14" ht="9.6" customHeight="1" thickBot="1" x14ac:dyDescent="0.25"/>
    <row r="3" spans="1:14" ht="6.95" customHeight="1" x14ac:dyDescent="0.2">
      <c r="B3" s="1"/>
      <c r="C3" s="2"/>
      <c r="D3" s="2"/>
      <c r="E3" s="2"/>
      <c r="F3" s="2"/>
      <c r="G3" s="2"/>
      <c r="H3" s="2"/>
      <c r="I3" s="2"/>
      <c r="J3" s="2"/>
      <c r="K3" s="2"/>
      <c r="L3" s="2"/>
      <c r="M3" s="2"/>
      <c r="N3" s="3"/>
    </row>
    <row r="4" spans="1:14" ht="15.75" x14ac:dyDescent="0.25">
      <c r="B4" s="4"/>
      <c r="C4" s="422" t="s">
        <v>37</v>
      </c>
      <c r="D4" s="423"/>
      <c r="E4" s="423"/>
      <c r="F4" s="424"/>
      <c r="G4" s="408" t="s">
        <v>619</v>
      </c>
      <c r="H4" s="409"/>
      <c r="I4" s="409"/>
      <c r="J4" s="409"/>
      <c r="K4" s="409"/>
      <c r="L4" s="409"/>
      <c r="M4" s="410"/>
      <c r="N4" s="6"/>
    </row>
    <row r="5" spans="1:14" ht="15.75" x14ac:dyDescent="0.25">
      <c r="B5" s="4"/>
      <c r="C5" s="230"/>
      <c r="D5" s="227"/>
      <c r="E5" s="231"/>
      <c r="F5" s="227"/>
      <c r="G5" s="227"/>
      <c r="H5" s="227"/>
      <c r="I5" s="227"/>
      <c r="J5" s="227"/>
      <c r="K5" s="227"/>
      <c r="L5" s="227"/>
      <c r="M5" s="227"/>
      <c r="N5" s="6"/>
    </row>
    <row r="6" spans="1:14" ht="91.5" customHeight="1" x14ac:dyDescent="0.25">
      <c r="B6" s="4"/>
      <c r="C6" s="420" t="s">
        <v>40</v>
      </c>
      <c r="D6" s="421"/>
      <c r="E6" s="425" t="s">
        <v>618</v>
      </c>
      <c r="F6" s="426"/>
      <c r="G6" s="426"/>
      <c r="H6" s="426"/>
      <c r="I6" s="426"/>
      <c r="J6" s="426"/>
      <c r="K6" s="426"/>
      <c r="L6" s="426"/>
      <c r="M6" s="427"/>
      <c r="N6" s="6"/>
    </row>
    <row r="7" spans="1:14" ht="15.75" x14ac:dyDescent="0.25">
      <c r="B7" s="4"/>
      <c r="C7" s="230"/>
      <c r="D7" s="227"/>
      <c r="E7" s="231"/>
      <c r="F7" s="227"/>
      <c r="G7" s="227"/>
      <c r="H7" s="227"/>
      <c r="I7" s="227"/>
      <c r="J7" s="227"/>
      <c r="K7" s="227"/>
      <c r="L7" s="227"/>
      <c r="M7" s="227"/>
      <c r="N7" s="6"/>
    </row>
    <row r="8" spans="1:14" ht="99.6" customHeight="1" x14ac:dyDescent="0.25">
      <c r="B8" s="4"/>
      <c r="C8" s="420" t="s">
        <v>41</v>
      </c>
      <c r="D8" s="421"/>
      <c r="E8" s="425" t="s">
        <v>617</v>
      </c>
      <c r="F8" s="426"/>
      <c r="G8" s="426"/>
      <c r="H8" s="426"/>
      <c r="I8" s="426"/>
      <c r="J8" s="426"/>
      <c r="K8" s="426"/>
      <c r="L8" s="426"/>
      <c r="M8" s="427"/>
      <c r="N8" s="6"/>
    </row>
    <row r="9" spans="1:14" ht="15.75" x14ac:dyDescent="0.25">
      <c r="B9" s="4"/>
      <c r="C9" s="230"/>
      <c r="D9" s="227"/>
      <c r="E9" s="231"/>
      <c r="F9" s="227"/>
      <c r="G9" s="227"/>
      <c r="H9" s="227"/>
      <c r="I9" s="227"/>
      <c r="J9" s="227"/>
      <c r="K9" s="227"/>
      <c r="L9" s="227"/>
      <c r="M9" s="227"/>
      <c r="N9" s="6"/>
    </row>
    <row r="10" spans="1:14" ht="15.75" x14ac:dyDescent="0.25">
      <c r="B10" s="4"/>
      <c r="C10" s="232" t="s">
        <v>38</v>
      </c>
      <c r="D10" s="408" t="s">
        <v>620</v>
      </c>
      <c r="E10" s="409"/>
      <c r="F10" s="409"/>
      <c r="G10" s="409"/>
      <c r="H10" s="409"/>
      <c r="I10" s="409"/>
      <c r="J10" s="409"/>
      <c r="K10" s="409"/>
      <c r="L10" s="409"/>
      <c r="M10" s="410"/>
      <c r="N10" s="6"/>
    </row>
    <row r="11" spans="1:14" ht="15.75" x14ac:dyDescent="0.25">
      <c r="B11" s="4"/>
      <c r="C11" s="227"/>
      <c r="D11" s="227"/>
      <c r="E11" s="227"/>
      <c r="F11" s="227"/>
      <c r="G11" s="227"/>
      <c r="H11" s="227"/>
      <c r="I11" s="227"/>
      <c r="J11" s="227"/>
      <c r="K11" s="227"/>
      <c r="L11" s="227"/>
      <c r="M11" s="227"/>
      <c r="N11" s="6"/>
    </row>
    <row r="12" spans="1:14" ht="15.75" x14ac:dyDescent="0.25">
      <c r="B12" s="4"/>
      <c r="C12" s="422" t="s">
        <v>39</v>
      </c>
      <c r="D12" s="423"/>
      <c r="E12" s="423"/>
      <c r="F12" s="423"/>
      <c r="G12" s="423"/>
      <c r="H12" s="423"/>
      <c r="I12" s="423"/>
      <c r="J12" s="423"/>
      <c r="K12" s="423"/>
      <c r="L12" s="423"/>
      <c r="M12" s="424"/>
      <c r="N12" s="6"/>
    </row>
    <row r="13" spans="1:14" x14ac:dyDescent="0.2">
      <c r="B13" s="4"/>
      <c r="C13" s="411"/>
      <c r="D13" s="412"/>
      <c r="E13" s="412"/>
      <c r="F13" s="412"/>
      <c r="G13" s="412"/>
      <c r="H13" s="412"/>
      <c r="I13" s="412"/>
      <c r="J13" s="412"/>
      <c r="K13" s="412"/>
      <c r="L13" s="412"/>
      <c r="M13" s="413"/>
      <c r="N13" s="6"/>
    </row>
    <row r="14" spans="1:14" x14ac:dyDescent="0.2">
      <c r="B14" s="4"/>
      <c r="C14" s="414"/>
      <c r="D14" s="415"/>
      <c r="E14" s="415"/>
      <c r="F14" s="415"/>
      <c r="G14" s="415"/>
      <c r="H14" s="415"/>
      <c r="I14" s="415"/>
      <c r="J14" s="415"/>
      <c r="K14" s="415"/>
      <c r="L14" s="415"/>
      <c r="M14" s="416"/>
      <c r="N14" s="6"/>
    </row>
    <row r="15" spans="1:14" x14ac:dyDescent="0.2">
      <c r="B15" s="4"/>
      <c r="C15" s="414"/>
      <c r="D15" s="415"/>
      <c r="E15" s="415"/>
      <c r="F15" s="415"/>
      <c r="G15" s="415"/>
      <c r="H15" s="415"/>
      <c r="I15" s="415"/>
      <c r="J15" s="415"/>
      <c r="K15" s="415"/>
      <c r="L15" s="415"/>
      <c r="M15" s="416"/>
      <c r="N15" s="6"/>
    </row>
    <row r="16" spans="1:14" ht="71.099999999999994" customHeight="1" x14ac:dyDescent="0.2">
      <c r="B16" s="4"/>
      <c r="C16" s="417"/>
      <c r="D16" s="418"/>
      <c r="E16" s="418"/>
      <c r="F16" s="418"/>
      <c r="G16" s="418"/>
      <c r="H16" s="418"/>
      <c r="I16" s="418"/>
      <c r="J16" s="418"/>
      <c r="K16" s="418"/>
      <c r="L16" s="418"/>
      <c r="M16" s="419"/>
      <c r="N16" s="6"/>
    </row>
    <row r="17" spans="2:14" ht="6.95" customHeight="1" thickBot="1" x14ac:dyDescent="0.25">
      <c r="B17" s="7"/>
      <c r="C17" s="8"/>
      <c r="D17" s="8"/>
      <c r="E17" s="8"/>
      <c r="F17" s="8"/>
      <c r="G17" s="8"/>
      <c r="H17" s="8"/>
      <c r="I17" s="8"/>
      <c r="J17" s="8"/>
      <c r="K17" s="8"/>
      <c r="L17" s="8"/>
      <c r="M17" s="8"/>
      <c r="N17" s="9"/>
    </row>
  </sheetData>
  <sheetProtection algorithmName="SHA-512" hashValue="MlrhyTcwjVkK0KMwfUPdHLOLO3P3d2RgdgUAD+doGpjQCsvg4ipOry44/OugRLuZWwpqIC+868VK5ABoE4k4tw==" saltValue="c+VL2rZFdvhBdytk+9ScHQ==" spinCount="100000" sheet="1" objects="1" scenarios="1" selectLockedCells="1"/>
  <mergeCells count="9">
    <mergeCell ref="G4:M4"/>
    <mergeCell ref="D10:M10"/>
    <mergeCell ref="C13:M16"/>
    <mergeCell ref="C6:D6"/>
    <mergeCell ref="C12:M12"/>
    <mergeCell ref="C8:D8"/>
    <mergeCell ref="E6:M6"/>
    <mergeCell ref="E8:M8"/>
    <mergeCell ref="C4:F4"/>
  </mergeCells>
  <pageMargins left="0.70866141732283472" right="0.70866141732283472" top="0.74803149606299213" bottom="0.74803149606299213" header="0.31496062992125984" footer="0.31496062992125984"/>
  <pageSetup paperSize="9" scale="84" orientation="portrait" r:id="rId1"/>
  <headerFooter>
    <oddHeader>&amp;LPhosphate Budget Calculator&amp;CProject Title</oddHeader>
    <oddFooter>&amp;LVersion 2.2&amp;R&amp;D</oddFooter>
  </headerFooter>
  <customProperties>
    <customPr name="SSC_SHEET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70E52-5235-41CA-BD68-07163707C988}">
  <sheetPr>
    <tabColor rgb="FFD6F4FE"/>
    <pageSetUpPr fitToPage="1"/>
  </sheetPr>
  <dimension ref="A1:AX66"/>
  <sheetViews>
    <sheetView topLeftCell="G1" zoomScale="85" zoomScaleNormal="85" workbookViewId="0">
      <selection activeCell="AA13" sqref="AA13"/>
    </sheetView>
  </sheetViews>
  <sheetFormatPr defaultRowHeight="12.75" x14ac:dyDescent="0.2"/>
  <cols>
    <col min="2" max="2" width="2.28515625" customWidth="1"/>
    <col min="3" max="3" width="2.42578125" customWidth="1"/>
    <col min="4" max="4" width="8.7109375" customWidth="1"/>
    <col min="5" max="5" width="13.85546875" customWidth="1"/>
    <col min="7" max="7" width="11.85546875" customWidth="1"/>
    <col min="8" max="8" width="1.85546875" customWidth="1"/>
    <col min="9" max="9" width="3.140625" customWidth="1"/>
    <col min="10" max="10" width="7" customWidth="1"/>
    <col min="11" max="11" width="31.42578125" customWidth="1"/>
    <col min="12" max="12" width="16.5703125" customWidth="1"/>
    <col min="13" max="13" width="16.85546875" customWidth="1"/>
    <col min="14" max="14" width="7.85546875" customWidth="1"/>
    <col min="15" max="15" width="5.5703125" customWidth="1"/>
    <col min="16" max="16" width="0.5703125" customWidth="1"/>
    <col min="17" max="17" width="4.28515625" hidden="1" customWidth="1"/>
    <col min="18" max="18" width="3.140625" customWidth="1"/>
    <col min="19" max="19" width="2.85546875" customWidth="1"/>
    <col min="20" max="20" width="4.5703125" customWidth="1"/>
    <col min="21" max="21" width="9.85546875" bestFit="1" customWidth="1"/>
    <col min="24" max="24" width="18.85546875" customWidth="1"/>
    <col min="25" max="25" width="1.42578125" customWidth="1"/>
    <col min="26" max="26" width="0.85546875" customWidth="1"/>
    <col min="27" max="27" width="15.140625" customWidth="1"/>
    <col min="28" max="28" width="2.7109375" customWidth="1"/>
    <col min="29" max="29" width="4" customWidth="1"/>
    <col min="30" max="30" width="30.140625" customWidth="1"/>
    <col min="31" max="31" width="11.140625" customWidth="1"/>
    <col min="32" max="32" width="0.7109375" customWidth="1"/>
    <col min="33" max="33" width="6.85546875" customWidth="1"/>
    <col min="34" max="34" width="1.28515625" customWidth="1"/>
    <col min="35" max="35" width="1.140625" customWidth="1"/>
  </cols>
  <sheetData>
    <row r="1" spans="1:35" ht="13.5" thickBot="1" x14ac:dyDescent="0.25">
      <c r="A1" s="40" t="s">
        <v>43</v>
      </c>
    </row>
    <row r="2" spans="1:35" ht="3.6" customHeight="1" x14ac:dyDescent="0.2">
      <c r="C2" s="40"/>
      <c r="D2" s="40"/>
      <c r="E2" s="40"/>
      <c r="F2" s="40"/>
      <c r="G2" s="40"/>
      <c r="H2" s="43"/>
      <c r="I2" s="44"/>
      <c r="J2" s="44"/>
      <c r="K2" s="44"/>
      <c r="L2" s="44"/>
      <c r="M2" s="44"/>
      <c r="N2" s="44"/>
      <c r="O2" s="44"/>
      <c r="P2" s="44"/>
      <c r="Q2" s="44"/>
      <c r="R2" s="44"/>
      <c r="S2" s="44"/>
      <c r="T2" s="44"/>
      <c r="U2" s="44"/>
      <c r="V2" s="44"/>
      <c r="W2" s="44"/>
      <c r="X2" s="44"/>
      <c r="Y2" s="44"/>
      <c r="Z2" s="45"/>
      <c r="AA2" s="40"/>
      <c r="AB2" s="40"/>
      <c r="AC2" s="40"/>
      <c r="AD2" s="40"/>
      <c r="AE2" s="40"/>
      <c r="AF2" s="40"/>
      <c r="AG2" s="40"/>
      <c r="AH2" s="40"/>
      <c r="AI2" s="40"/>
    </row>
    <row r="3" spans="1:35" ht="38.450000000000003" customHeight="1" x14ac:dyDescent="0.25">
      <c r="C3" s="40"/>
      <c r="D3" s="229"/>
      <c r="E3" s="229"/>
      <c r="F3" s="229"/>
      <c r="G3" s="229"/>
      <c r="H3" s="233"/>
      <c r="I3" s="363" t="s">
        <v>607</v>
      </c>
      <c r="J3" s="363"/>
      <c r="K3" s="433" t="s">
        <v>492</v>
      </c>
      <c r="L3" s="433"/>
      <c r="M3" s="433"/>
      <c r="N3" s="433"/>
      <c r="O3" s="433"/>
      <c r="P3" s="433"/>
      <c r="Q3" s="433"/>
      <c r="R3" s="433"/>
      <c r="S3" s="433"/>
      <c r="T3" s="433"/>
      <c r="U3" s="433"/>
      <c r="V3" s="433"/>
      <c r="W3" s="433"/>
      <c r="X3" s="433"/>
      <c r="Y3" s="234"/>
      <c r="Z3" s="235"/>
      <c r="AA3" s="229"/>
      <c r="AB3" s="229"/>
      <c r="AC3" s="229"/>
      <c r="AD3" s="229"/>
      <c r="AE3" s="229"/>
      <c r="AF3" s="229"/>
      <c r="AG3" s="229"/>
      <c r="AH3" s="229"/>
      <c r="AI3" s="40"/>
    </row>
    <row r="4" spans="1:35" ht="12.6" customHeight="1" x14ac:dyDescent="0.25">
      <c r="C4" s="40"/>
      <c r="D4" s="229"/>
      <c r="E4" s="229"/>
      <c r="F4" s="229"/>
      <c r="G4" s="229"/>
      <c r="H4" s="233"/>
      <c r="I4" s="428" t="s">
        <v>608</v>
      </c>
      <c r="J4" s="428"/>
      <c r="K4" s="428"/>
      <c r="L4" s="428"/>
      <c r="M4" s="428"/>
      <c r="N4" s="428"/>
      <c r="O4" s="428"/>
      <c r="P4" s="428"/>
      <c r="Q4" s="428"/>
      <c r="R4" s="428"/>
      <c r="S4" s="428"/>
      <c r="T4" s="428"/>
      <c r="U4" s="428"/>
      <c r="V4" s="428"/>
      <c r="W4" s="428"/>
      <c r="X4" s="428"/>
      <c r="Y4" s="236"/>
      <c r="Z4" s="235"/>
      <c r="AA4" s="229"/>
      <c r="AB4" s="229"/>
      <c r="AC4" s="229"/>
      <c r="AD4" s="229"/>
      <c r="AE4" s="229"/>
      <c r="AF4" s="229"/>
      <c r="AG4" s="229"/>
      <c r="AH4" s="229"/>
      <c r="AI4" s="40"/>
    </row>
    <row r="5" spans="1:35" ht="15.75" x14ac:dyDescent="0.25">
      <c r="C5" s="40"/>
      <c r="D5" s="229"/>
      <c r="E5" s="229"/>
      <c r="F5" s="229"/>
      <c r="G5" s="229"/>
      <c r="H5" s="233"/>
      <c r="I5" s="428"/>
      <c r="J5" s="428"/>
      <c r="K5" s="428"/>
      <c r="L5" s="428"/>
      <c r="M5" s="428"/>
      <c r="N5" s="428"/>
      <c r="O5" s="428"/>
      <c r="P5" s="428"/>
      <c r="Q5" s="428"/>
      <c r="R5" s="428"/>
      <c r="S5" s="428"/>
      <c r="T5" s="428"/>
      <c r="U5" s="428"/>
      <c r="V5" s="428"/>
      <c r="W5" s="428"/>
      <c r="X5" s="428"/>
      <c r="Y5" s="236"/>
      <c r="Z5" s="235"/>
      <c r="AA5" s="229"/>
      <c r="AB5" s="229"/>
      <c r="AC5" s="229"/>
      <c r="AD5" s="229"/>
      <c r="AE5" s="229"/>
      <c r="AF5" s="229"/>
      <c r="AG5" s="229"/>
      <c r="AH5" s="229"/>
      <c r="AI5" s="40"/>
    </row>
    <row r="6" spans="1:35" ht="62.1" customHeight="1" x14ac:dyDescent="0.25">
      <c r="C6" s="40"/>
      <c r="D6" s="229"/>
      <c r="E6" s="229"/>
      <c r="F6" s="229"/>
      <c r="G6" s="229"/>
      <c r="H6" s="233"/>
      <c r="I6" s="434"/>
      <c r="J6" s="434"/>
      <c r="K6" s="434"/>
      <c r="L6" s="434"/>
      <c r="M6" s="434"/>
      <c r="N6" s="434"/>
      <c r="O6" s="434"/>
      <c r="P6" s="434"/>
      <c r="Q6" s="434"/>
      <c r="R6" s="434"/>
      <c r="S6" s="434"/>
      <c r="T6" s="434"/>
      <c r="U6" s="434"/>
      <c r="V6" s="434"/>
      <c r="W6" s="434"/>
      <c r="X6" s="434"/>
      <c r="Y6" s="236"/>
      <c r="Z6" s="235"/>
      <c r="AA6" s="229"/>
      <c r="AB6" s="229"/>
      <c r="AC6" s="229"/>
      <c r="AD6" s="229"/>
      <c r="AE6" s="229"/>
      <c r="AF6" s="229"/>
      <c r="AG6" s="229"/>
      <c r="AH6" s="229"/>
      <c r="AI6" s="40"/>
    </row>
    <row r="7" spans="1:35" ht="3.95" customHeight="1" x14ac:dyDescent="0.25">
      <c r="C7" s="40"/>
      <c r="D7" s="229"/>
      <c r="E7" s="229"/>
      <c r="F7" s="229"/>
      <c r="G7" s="229"/>
      <c r="H7" s="233"/>
      <c r="I7" s="49"/>
      <c r="J7" s="49"/>
      <c r="K7" s="49"/>
      <c r="L7" s="49"/>
      <c r="M7" s="237"/>
      <c r="N7" s="237"/>
      <c r="O7" s="237"/>
      <c r="P7" s="237"/>
      <c r="Q7" s="237"/>
      <c r="R7" s="237"/>
      <c r="S7" s="237"/>
      <c r="T7" s="237"/>
      <c r="U7" s="237"/>
      <c r="V7" s="237"/>
      <c r="W7" s="237"/>
      <c r="X7" s="237"/>
      <c r="Y7" s="237"/>
      <c r="Z7" s="235"/>
      <c r="AA7" s="229"/>
      <c r="AB7" s="229"/>
      <c r="AC7" s="229"/>
      <c r="AD7" s="229"/>
      <c r="AE7" s="229"/>
      <c r="AF7" s="229"/>
      <c r="AG7" s="229"/>
      <c r="AH7" s="229"/>
      <c r="AI7" s="40"/>
    </row>
    <row r="8" spans="1:35" ht="15.75" x14ac:dyDescent="0.25">
      <c r="C8" s="40"/>
      <c r="D8" s="229"/>
      <c r="E8" s="229"/>
      <c r="F8" s="229"/>
      <c r="G8" s="229"/>
      <c r="H8" s="233"/>
      <c r="I8" s="49"/>
      <c r="J8" s="48" t="s">
        <v>5</v>
      </c>
      <c r="K8" s="374" t="s">
        <v>0</v>
      </c>
      <c r="L8" s="374"/>
      <c r="M8" s="374"/>
      <c r="N8" s="374"/>
      <c r="O8" s="374"/>
      <c r="P8" s="374"/>
      <c r="Q8" s="374"/>
      <c r="R8" s="374"/>
      <c r="S8" s="374"/>
      <c r="T8" s="374"/>
      <c r="U8" s="374"/>
      <c r="V8" s="144" t="s">
        <v>2</v>
      </c>
      <c r="W8" s="144"/>
      <c r="X8" s="144" t="s">
        <v>3</v>
      </c>
      <c r="Y8" s="227"/>
      <c r="Z8" s="235"/>
      <c r="AA8" s="229"/>
      <c r="AB8" s="229"/>
      <c r="AC8" s="229"/>
      <c r="AD8" s="229"/>
      <c r="AE8" s="229"/>
      <c r="AF8" s="229"/>
      <c r="AG8" s="229"/>
      <c r="AH8" s="229"/>
      <c r="AI8" s="40"/>
    </row>
    <row r="9" spans="1:35" ht="3.6" customHeight="1" x14ac:dyDescent="0.25">
      <c r="C9" s="40"/>
      <c r="D9" s="229"/>
      <c r="E9" s="229"/>
      <c r="F9" s="229"/>
      <c r="G9" s="229"/>
      <c r="H9" s="233"/>
      <c r="I9" s="49"/>
      <c r="J9" s="49"/>
      <c r="K9" s="49"/>
      <c r="L9" s="49"/>
      <c r="M9" s="49"/>
      <c r="N9" s="49"/>
      <c r="O9" s="49"/>
      <c r="P9" s="49"/>
      <c r="Q9" s="49"/>
      <c r="R9" s="49"/>
      <c r="S9" s="49"/>
      <c r="T9" s="49"/>
      <c r="U9" s="49"/>
      <c r="V9" s="49"/>
      <c r="W9" s="49"/>
      <c r="X9" s="49"/>
      <c r="Y9" s="227"/>
      <c r="Z9" s="235"/>
      <c r="AA9" s="229"/>
      <c r="AB9" s="229"/>
      <c r="AC9" s="229"/>
      <c r="AD9" s="229"/>
      <c r="AE9" s="229"/>
      <c r="AF9" s="229"/>
      <c r="AG9" s="229"/>
      <c r="AH9" s="229"/>
      <c r="AI9" s="40"/>
    </row>
    <row r="10" spans="1:35" ht="3.6" customHeight="1" x14ac:dyDescent="0.25">
      <c r="C10" s="40"/>
      <c r="D10" s="229"/>
      <c r="E10" s="229"/>
      <c r="F10" s="229"/>
      <c r="G10" s="229"/>
      <c r="H10" s="233"/>
      <c r="I10" s="49"/>
      <c r="J10" s="49"/>
      <c r="K10" s="49"/>
      <c r="L10" s="49"/>
      <c r="M10" s="49"/>
      <c r="N10" s="49"/>
      <c r="O10" s="49"/>
      <c r="P10" s="49"/>
      <c r="Q10" s="49"/>
      <c r="R10" s="49"/>
      <c r="S10" s="49"/>
      <c r="T10" s="49"/>
      <c r="U10" s="49"/>
      <c r="V10" s="49"/>
      <c r="W10" s="49"/>
      <c r="X10" s="49"/>
      <c r="Y10" s="227"/>
      <c r="Z10" s="235"/>
      <c r="AA10" s="229"/>
      <c r="AB10" s="229"/>
      <c r="AC10" s="229"/>
      <c r="AD10" s="229"/>
      <c r="AE10" s="229"/>
      <c r="AF10" s="229"/>
      <c r="AG10" s="229"/>
      <c r="AH10" s="229"/>
      <c r="AI10" s="40"/>
    </row>
    <row r="11" spans="1:35" ht="15.75" x14ac:dyDescent="0.25">
      <c r="C11" s="40"/>
      <c r="D11" s="229"/>
      <c r="E11" s="229"/>
      <c r="F11" s="229"/>
      <c r="G11" s="229"/>
      <c r="H11" s="233"/>
      <c r="I11" s="49"/>
      <c r="J11" s="49" t="s">
        <v>592</v>
      </c>
      <c r="K11" s="374" t="s">
        <v>358</v>
      </c>
      <c r="L11" s="374"/>
      <c r="M11" s="374"/>
      <c r="N11" s="374"/>
      <c r="O11" s="374"/>
      <c r="P11" s="374"/>
      <c r="Q11" s="374"/>
      <c r="R11" s="374"/>
      <c r="S11" s="374"/>
      <c r="T11" s="374"/>
      <c r="U11" s="374"/>
      <c r="V11" s="238">
        <v>1100</v>
      </c>
      <c r="W11" s="239"/>
      <c r="X11" s="240" t="s">
        <v>6</v>
      </c>
      <c r="Y11" s="227"/>
      <c r="Z11" s="235"/>
      <c r="AA11" s="229"/>
      <c r="AB11" s="229"/>
      <c r="AC11" s="229"/>
      <c r="AD11" s="241"/>
      <c r="AE11" s="241"/>
      <c r="AF11" s="229"/>
      <c r="AG11" s="229"/>
      <c r="AH11" s="229"/>
      <c r="AI11" s="40"/>
    </row>
    <row r="12" spans="1:35" ht="15.75" x14ac:dyDescent="0.25">
      <c r="C12" s="40"/>
      <c r="D12" s="229"/>
      <c r="E12" s="229"/>
      <c r="F12" s="229"/>
      <c r="G12" s="229"/>
      <c r="H12" s="233"/>
      <c r="I12" s="49"/>
      <c r="J12" s="49"/>
      <c r="K12" s="374" t="s">
        <v>139</v>
      </c>
      <c r="L12" s="374"/>
      <c r="M12" s="374"/>
      <c r="N12" s="374"/>
      <c r="O12" s="242"/>
      <c r="P12" s="242"/>
      <c r="Q12" s="242"/>
      <c r="R12" s="49"/>
      <c r="S12" s="49"/>
      <c r="T12" s="49"/>
      <c r="U12" s="49"/>
      <c r="V12" s="268">
        <v>1.8759999999999999</v>
      </c>
      <c r="W12" s="144"/>
      <c r="X12" s="244" t="s">
        <v>7</v>
      </c>
      <c r="Y12" s="227"/>
      <c r="Z12" s="235"/>
      <c r="AA12" s="229"/>
      <c r="AB12" s="229"/>
      <c r="AC12" s="229"/>
      <c r="AD12" s="241"/>
      <c r="AE12" s="241"/>
      <c r="AF12" s="229"/>
      <c r="AG12" s="229"/>
      <c r="AH12" s="229"/>
      <c r="AI12" s="40"/>
    </row>
    <row r="13" spans="1:35" ht="15.75" x14ac:dyDescent="0.25">
      <c r="C13" s="40"/>
      <c r="D13" s="229"/>
      <c r="E13" s="229"/>
      <c r="F13" s="229"/>
      <c r="G13" s="229"/>
      <c r="H13" s="233"/>
      <c r="I13" s="49"/>
      <c r="J13" s="49"/>
      <c r="K13" s="142"/>
      <c r="L13" s="142"/>
      <c r="M13" s="142"/>
      <c r="N13" s="142"/>
      <c r="O13" s="242"/>
      <c r="P13" s="242"/>
      <c r="Q13" s="242"/>
      <c r="R13" s="49"/>
      <c r="S13" s="49"/>
      <c r="T13" s="49"/>
      <c r="U13" s="49"/>
      <c r="V13" s="144"/>
      <c r="W13" s="144"/>
      <c r="X13" s="244"/>
      <c r="Y13" s="227"/>
      <c r="Z13" s="235"/>
      <c r="AA13" s="229"/>
      <c r="AB13" s="229"/>
      <c r="AC13" s="229"/>
      <c r="AD13" s="241"/>
      <c r="AE13" s="241"/>
      <c r="AF13" s="229"/>
      <c r="AG13" s="229"/>
      <c r="AH13" s="229"/>
      <c r="AI13" s="40"/>
    </row>
    <row r="14" spans="1:35" ht="26.45" customHeight="1" x14ac:dyDescent="0.25">
      <c r="C14" s="40"/>
      <c r="D14" s="229"/>
      <c r="E14" s="229"/>
      <c r="F14" s="229"/>
      <c r="G14" s="229"/>
      <c r="H14" s="233"/>
      <c r="I14" s="49"/>
      <c r="J14" s="49" t="s">
        <v>593</v>
      </c>
      <c r="K14" s="356" t="s">
        <v>609</v>
      </c>
      <c r="L14" s="356"/>
      <c r="M14" s="356"/>
      <c r="N14" s="356"/>
      <c r="O14" s="356"/>
      <c r="P14" s="356"/>
      <c r="Q14" s="356"/>
      <c r="R14" s="356"/>
      <c r="S14" s="356"/>
      <c r="T14" s="356"/>
      <c r="U14" s="356"/>
      <c r="V14" s="238"/>
      <c r="W14" s="239"/>
      <c r="X14" s="240" t="s">
        <v>6</v>
      </c>
      <c r="Y14" s="227"/>
      <c r="Z14" s="235"/>
      <c r="AA14" s="229"/>
      <c r="AB14" s="229"/>
      <c r="AC14" s="229"/>
      <c r="AD14" s="241"/>
      <c r="AE14" s="241"/>
      <c r="AF14" s="229"/>
      <c r="AG14" s="229"/>
      <c r="AH14" s="229"/>
      <c r="AI14" s="40"/>
    </row>
    <row r="15" spans="1:35" ht="15.75" x14ac:dyDescent="0.25">
      <c r="C15" s="40"/>
      <c r="D15" s="229"/>
      <c r="E15" s="229"/>
      <c r="F15" s="229"/>
      <c r="G15" s="229"/>
      <c r="H15" s="233"/>
      <c r="I15" s="49"/>
      <c r="J15" s="49"/>
      <c r="K15" s="374" t="s">
        <v>139</v>
      </c>
      <c r="L15" s="374"/>
      <c r="M15" s="374"/>
      <c r="N15" s="374"/>
      <c r="O15" s="374"/>
      <c r="P15" s="374"/>
      <c r="Q15" s="374"/>
      <c r="R15" s="374"/>
      <c r="S15" s="374"/>
      <c r="T15" s="374"/>
      <c r="U15" s="374"/>
      <c r="V15" s="243">
        <v>1.65</v>
      </c>
      <c r="W15" s="144"/>
      <c r="X15" s="244" t="s">
        <v>7</v>
      </c>
      <c r="Y15" s="227"/>
      <c r="Z15" s="235"/>
      <c r="AA15" s="229"/>
      <c r="AB15" s="229"/>
      <c r="AC15" s="229"/>
      <c r="AD15" s="241"/>
      <c r="AE15" s="241"/>
      <c r="AF15" s="229"/>
      <c r="AG15" s="229"/>
      <c r="AH15" s="229"/>
      <c r="AI15" s="40"/>
    </row>
    <row r="16" spans="1:35" ht="15.75" x14ac:dyDescent="0.25">
      <c r="C16" s="40"/>
      <c r="D16" s="229"/>
      <c r="E16" s="229"/>
      <c r="F16" s="229"/>
      <c r="G16" s="229"/>
      <c r="H16" s="233"/>
      <c r="I16" s="49"/>
      <c r="J16" s="49"/>
      <c r="K16" s="142"/>
      <c r="L16" s="142"/>
      <c r="M16" s="142"/>
      <c r="N16" s="142"/>
      <c r="O16" s="242"/>
      <c r="P16" s="242"/>
      <c r="Q16" s="242"/>
      <c r="R16" s="49"/>
      <c r="S16" s="49"/>
      <c r="T16" s="49"/>
      <c r="U16" s="49"/>
      <c r="V16" s="144"/>
      <c r="W16" s="144"/>
      <c r="X16" s="244"/>
      <c r="Y16" s="227"/>
      <c r="Z16" s="235"/>
      <c r="AA16" s="229"/>
      <c r="AB16" s="229"/>
      <c r="AC16" s="229"/>
      <c r="AD16" s="241"/>
      <c r="AE16" s="241"/>
      <c r="AF16" s="229"/>
      <c r="AG16" s="229"/>
      <c r="AH16" s="229"/>
      <c r="AI16" s="40"/>
    </row>
    <row r="17" spans="3:36" ht="15.75" x14ac:dyDescent="0.25">
      <c r="C17" s="40"/>
      <c r="D17" s="229"/>
      <c r="E17" s="229"/>
      <c r="F17" s="229"/>
      <c r="G17" s="229"/>
      <c r="H17" s="233"/>
      <c r="I17" s="49"/>
      <c r="J17" s="49" t="s">
        <v>594</v>
      </c>
      <c r="K17" s="374" t="s">
        <v>231</v>
      </c>
      <c r="L17" s="374"/>
      <c r="M17" s="374"/>
      <c r="N17" s="374"/>
      <c r="O17" s="374"/>
      <c r="P17" s="374"/>
      <c r="Q17" s="374"/>
      <c r="R17" s="374"/>
      <c r="S17" s="374"/>
      <c r="T17" s="374"/>
      <c r="U17" s="374"/>
      <c r="V17" s="238"/>
      <c r="W17" s="239"/>
      <c r="X17" s="240" t="s">
        <v>6</v>
      </c>
      <c r="Y17" s="227"/>
      <c r="Z17" s="235"/>
      <c r="AA17" s="229"/>
      <c r="AB17" s="229"/>
      <c r="AC17" s="229"/>
      <c r="AD17" s="241"/>
      <c r="AE17" s="241"/>
      <c r="AF17" s="229"/>
      <c r="AG17" s="229"/>
      <c r="AH17" s="229"/>
      <c r="AI17" s="40"/>
    </row>
    <row r="18" spans="3:36" ht="15.75" x14ac:dyDescent="0.25">
      <c r="C18" s="40"/>
      <c r="D18" s="229"/>
      <c r="E18" s="229"/>
      <c r="F18" s="229"/>
      <c r="G18" s="229"/>
      <c r="H18" s="233"/>
      <c r="I18" s="49"/>
      <c r="J18" s="49"/>
      <c r="K18" s="374" t="s">
        <v>139</v>
      </c>
      <c r="L18" s="374"/>
      <c r="M18" s="374"/>
      <c r="N18" s="374"/>
      <c r="O18" s="374"/>
      <c r="P18" s="374"/>
      <c r="Q18" s="374"/>
      <c r="R18" s="374"/>
      <c r="S18" s="374"/>
      <c r="T18" s="374"/>
      <c r="U18" s="374"/>
      <c r="V18" s="243">
        <v>1.65</v>
      </c>
      <c r="W18" s="144"/>
      <c r="X18" s="244" t="s">
        <v>7</v>
      </c>
      <c r="Y18" s="227"/>
      <c r="Z18" s="235"/>
      <c r="AA18" s="229"/>
      <c r="AB18" s="229"/>
      <c r="AC18" s="229"/>
      <c r="AD18" s="241"/>
      <c r="AE18" s="241"/>
      <c r="AF18" s="229"/>
      <c r="AG18" s="229"/>
      <c r="AH18" s="229"/>
      <c r="AI18" s="40"/>
    </row>
    <row r="19" spans="3:36" ht="15.75" x14ac:dyDescent="0.25">
      <c r="C19" s="40"/>
      <c r="D19" s="229"/>
      <c r="E19" s="229"/>
      <c r="F19" s="229"/>
      <c r="G19" s="229"/>
      <c r="H19" s="233"/>
      <c r="I19" s="49"/>
      <c r="J19" s="49"/>
      <c r="K19" s="374" t="s">
        <v>232</v>
      </c>
      <c r="L19" s="374"/>
      <c r="M19" s="374"/>
      <c r="N19" s="374"/>
      <c r="O19" s="374"/>
      <c r="P19" s="374"/>
      <c r="Q19" s="374"/>
      <c r="R19" s="374"/>
      <c r="S19" s="374"/>
      <c r="T19" s="374"/>
      <c r="U19" s="374"/>
      <c r="V19" s="238"/>
      <c r="W19" s="239"/>
      <c r="X19" s="244" t="s">
        <v>230</v>
      </c>
      <c r="Y19" s="227"/>
      <c r="Z19" s="235"/>
      <c r="AA19" s="229"/>
      <c r="AB19" s="229"/>
      <c r="AC19" s="229"/>
      <c r="AD19" s="241"/>
      <c r="AE19" s="241"/>
      <c r="AF19" s="229"/>
      <c r="AG19" s="229"/>
      <c r="AH19" s="229"/>
      <c r="AI19" s="40"/>
    </row>
    <row r="20" spans="3:36" ht="12.6" customHeight="1" x14ac:dyDescent="0.25">
      <c r="C20" s="40"/>
      <c r="D20" s="229"/>
      <c r="E20" s="229"/>
      <c r="F20" s="229"/>
      <c r="G20" s="229"/>
      <c r="H20" s="233"/>
      <c r="I20" s="49"/>
      <c r="J20" s="49"/>
      <c r="K20" s="374" t="s">
        <v>233</v>
      </c>
      <c r="L20" s="374"/>
      <c r="M20" s="374"/>
      <c r="N20" s="374"/>
      <c r="O20" s="374"/>
      <c r="P20" s="374"/>
      <c r="Q20" s="374"/>
      <c r="R20" s="374"/>
      <c r="S20" s="374"/>
      <c r="T20" s="374"/>
      <c r="U20" s="374"/>
      <c r="V20" s="238"/>
      <c r="W20" s="239"/>
      <c r="X20" s="240" t="s">
        <v>55</v>
      </c>
      <c r="Y20" s="227"/>
      <c r="Z20" s="235"/>
      <c r="AA20" s="229"/>
      <c r="AB20" s="229"/>
      <c r="AC20" s="229"/>
      <c r="AD20" s="241"/>
      <c r="AE20" s="241"/>
      <c r="AF20" s="229"/>
      <c r="AG20" s="229"/>
      <c r="AH20" s="229"/>
      <c r="AI20" s="40"/>
    </row>
    <row r="21" spans="3:36" ht="8.4499999999999993" customHeight="1" x14ac:dyDescent="0.25">
      <c r="C21" s="40"/>
      <c r="D21" s="229"/>
      <c r="E21" s="229"/>
      <c r="F21" s="229"/>
      <c r="G21" s="229"/>
      <c r="H21" s="233"/>
      <c r="I21" s="49"/>
      <c r="J21" s="49"/>
      <c r="K21" s="49"/>
      <c r="L21" s="49"/>
      <c r="M21" s="49"/>
      <c r="N21" s="49"/>
      <c r="O21" s="49"/>
      <c r="P21" s="49"/>
      <c r="Q21" s="49"/>
      <c r="R21" s="49"/>
      <c r="S21" s="49"/>
      <c r="T21" s="49"/>
      <c r="U21" s="49"/>
      <c r="V21" s="144"/>
      <c r="W21" s="144"/>
      <c r="X21" s="240"/>
      <c r="Y21" s="227"/>
      <c r="Z21" s="235"/>
      <c r="AA21" s="229"/>
      <c r="AB21" s="229"/>
      <c r="AC21" s="229"/>
      <c r="AD21" s="241"/>
      <c r="AE21" s="241"/>
      <c r="AF21" s="229"/>
      <c r="AG21" s="229"/>
      <c r="AH21" s="229"/>
      <c r="AI21" s="40"/>
    </row>
    <row r="22" spans="3:36" ht="15" customHeight="1" x14ac:dyDescent="0.25">
      <c r="C22" s="40"/>
      <c r="D22" s="229"/>
      <c r="E22" s="229"/>
      <c r="F22" s="229"/>
      <c r="G22" s="229"/>
      <c r="H22" s="233"/>
      <c r="I22" s="49"/>
      <c r="J22" s="49"/>
      <c r="K22" s="429" t="s">
        <v>1</v>
      </c>
      <c r="L22" s="429"/>
      <c r="M22" s="429"/>
      <c r="N22" s="429"/>
      <c r="O22" s="429"/>
      <c r="P22" s="429"/>
      <c r="Q22" s="429"/>
      <c r="R22" s="429"/>
      <c r="S22" s="429"/>
      <c r="T22" s="429"/>
      <c r="U22" s="429"/>
      <c r="V22" s="350">
        <f>(V11*V12)+(IF(V14&gt;0,6+(V14*V15),0))+((V17*V18)*(V19/52)*(V20/100))</f>
        <v>2063.6</v>
      </c>
      <c r="W22" s="245"/>
      <c r="X22" s="246" t="s">
        <v>4</v>
      </c>
      <c r="Y22" s="227"/>
      <c r="Z22" s="235"/>
      <c r="AA22" s="229"/>
      <c r="AB22" s="229"/>
      <c r="AC22" s="229"/>
      <c r="AD22" s="241"/>
      <c r="AE22" s="241"/>
      <c r="AF22" s="229"/>
      <c r="AG22" s="229"/>
      <c r="AH22" s="229"/>
      <c r="AI22" s="40"/>
    </row>
    <row r="23" spans="3:36" ht="15" customHeight="1" x14ac:dyDescent="0.25">
      <c r="C23" s="40"/>
      <c r="D23" s="229"/>
      <c r="E23" s="229"/>
      <c r="F23" s="229"/>
      <c r="G23" s="229"/>
      <c r="H23" s="233"/>
      <c r="I23" s="247"/>
      <c r="J23" s="247"/>
      <c r="K23" s="248"/>
      <c r="L23" s="248"/>
      <c r="M23" s="248"/>
      <c r="N23" s="248"/>
      <c r="O23" s="248"/>
      <c r="P23" s="248"/>
      <c r="Q23" s="248"/>
      <c r="R23" s="248"/>
      <c r="S23" s="248"/>
      <c r="T23" s="248"/>
      <c r="U23" s="248"/>
      <c r="V23" s="249"/>
      <c r="W23" s="249"/>
      <c r="X23" s="250"/>
      <c r="Y23" s="227"/>
      <c r="Z23" s="235"/>
      <c r="AA23" s="229"/>
      <c r="AB23" s="229"/>
      <c r="AC23" s="229"/>
      <c r="AD23" s="241"/>
      <c r="AE23" s="241"/>
      <c r="AF23" s="229"/>
      <c r="AG23" s="229"/>
      <c r="AH23" s="229"/>
      <c r="AI23" s="40"/>
    </row>
    <row r="24" spans="3:36" ht="15" customHeight="1" x14ac:dyDescent="0.25">
      <c r="C24" s="40"/>
      <c r="D24" s="229"/>
      <c r="E24" s="229"/>
      <c r="F24" s="229"/>
      <c r="G24" s="229"/>
      <c r="H24" s="233"/>
      <c r="I24" s="49"/>
      <c r="J24" s="49"/>
      <c r="K24" s="197"/>
      <c r="L24" s="197"/>
      <c r="M24" s="197"/>
      <c r="N24" s="197"/>
      <c r="O24" s="197"/>
      <c r="P24" s="197"/>
      <c r="Q24" s="197"/>
      <c r="R24" s="197"/>
      <c r="S24" s="197"/>
      <c r="T24" s="197"/>
      <c r="U24" s="197"/>
      <c r="V24" s="245"/>
      <c r="W24" s="245"/>
      <c r="X24" s="246"/>
      <c r="Y24" s="227"/>
      <c r="Z24" s="235"/>
      <c r="AA24" s="229"/>
      <c r="AB24" s="229"/>
      <c r="AC24" s="229"/>
      <c r="AD24" s="241"/>
      <c r="AE24" s="241"/>
      <c r="AF24" s="229"/>
      <c r="AG24" s="229"/>
      <c r="AH24" s="229"/>
      <c r="AI24" s="40"/>
    </row>
    <row r="25" spans="3:36" ht="15" customHeight="1" x14ac:dyDescent="0.25">
      <c r="C25" s="40"/>
      <c r="D25" s="229"/>
      <c r="E25" s="229"/>
      <c r="F25" s="229"/>
      <c r="G25" s="229"/>
      <c r="H25" s="233"/>
      <c r="I25" s="49"/>
      <c r="J25" s="48" t="s">
        <v>8</v>
      </c>
      <c r="K25" s="356" t="s">
        <v>361</v>
      </c>
      <c r="L25" s="356"/>
      <c r="M25" s="356"/>
      <c r="N25" s="356"/>
      <c r="O25" s="197"/>
      <c r="P25" s="197"/>
      <c r="Q25" s="197"/>
      <c r="R25" s="197"/>
      <c r="S25" s="197"/>
      <c r="T25" s="197"/>
      <c r="U25" s="197"/>
      <c r="V25" s="245"/>
      <c r="W25" s="245"/>
      <c r="X25" s="246"/>
      <c r="Y25" s="227"/>
      <c r="Z25" s="235"/>
      <c r="AA25" s="229"/>
      <c r="AB25" s="229"/>
      <c r="AC25" s="229"/>
      <c r="AD25" s="241"/>
      <c r="AE25" s="241"/>
      <c r="AF25" s="229"/>
      <c r="AG25" s="229"/>
      <c r="AH25" s="229"/>
      <c r="AI25" s="40"/>
    </row>
    <row r="26" spans="3:36" ht="15" customHeight="1" x14ac:dyDescent="0.25">
      <c r="C26" s="40"/>
      <c r="D26" s="229"/>
      <c r="E26" s="229"/>
      <c r="F26" s="229"/>
      <c r="G26" s="229"/>
      <c r="H26" s="233"/>
      <c r="I26" s="49"/>
      <c r="J26" s="49"/>
      <c r="K26" s="197"/>
      <c r="L26" s="197"/>
      <c r="M26" s="197"/>
      <c r="N26" s="197"/>
      <c r="O26" s="197"/>
      <c r="P26" s="197"/>
      <c r="Q26" s="197"/>
      <c r="R26" s="197"/>
      <c r="S26" s="197"/>
      <c r="T26" s="197"/>
      <c r="U26" s="197"/>
      <c r="V26" s="245"/>
      <c r="W26" s="245"/>
      <c r="X26" s="246"/>
      <c r="Y26" s="227"/>
      <c r="Z26" s="235"/>
      <c r="AA26" s="229"/>
      <c r="AB26" s="229"/>
      <c r="AC26" s="229"/>
      <c r="AD26" s="241"/>
      <c r="AE26" s="241"/>
      <c r="AF26" s="229"/>
      <c r="AG26" s="229"/>
      <c r="AH26" s="229"/>
      <c r="AI26" s="40"/>
    </row>
    <row r="27" spans="3:36" ht="15" customHeight="1" x14ac:dyDescent="0.25">
      <c r="C27" s="40"/>
      <c r="D27" s="229"/>
      <c r="E27" s="229"/>
      <c r="F27" s="229"/>
      <c r="G27" s="229"/>
      <c r="H27" s="233"/>
      <c r="I27" s="49"/>
      <c r="J27" s="49"/>
      <c r="K27" s="374" t="s">
        <v>9</v>
      </c>
      <c r="L27" s="374"/>
      <c r="M27" s="374"/>
      <c r="N27" s="374"/>
      <c r="O27" s="197"/>
      <c r="P27" s="197"/>
      <c r="Q27" s="197"/>
      <c r="R27" s="197"/>
      <c r="S27" s="197"/>
      <c r="T27" s="197"/>
      <c r="U27" s="197"/>
      <c r="V27" s="349">
        <v>110</v>
      </c>
      <c r="W27" s="245"/>
      <c r="X27" s="431" t="s">
        <v>60</v>
      </c>
      <c r="Y27" s="431"/>
      <c r="Z27" s="235"/>
      <c r="AA27" s="229"/>
      <c r="AB27" s="229"/>
      <c r="AC27" s="229"/>
      <c r="AD27" s="241"/>
      <c r="AE27" s="241"/>
      <c r="AF27" s="229"/>
      <c r="AG27" s="229"/>
      <c r="AH27" s="229"/>
      <c r="AI27" s="40"/>
    </row>
    <row r="28" spans="3:36" ht="15" customHeight="1" x14ac:dyDescent="0.25">
      <c r="C28" s="40"/>
      <c r="D28" s="229"/>
      <c r="E28" s="229"/>
      <c r="F28" s="229"/>
      <c r="G28" s="229"/>
      <c r="H28" s="233"/>
      <c r="I28" s="49"/>
      <c r="J28" s="49"/>
      <c r="K28" s="197"/>
      <c r="L28" s="197"/>
      <c r="M28" s="197"/>
      <c r="N28" s="197"/>
      <c r="O28" s="197"/>
      <c r="P28" s="197"/>
      <c r="Q28" s="197"/>
      <c r="R28" s="197"/>
      <c r="S28" s="197"/>
      <c r="T28" s="197"/>
      <c r="U28" s="197"/>
      <c r="V28" s="245"/>
      <c r="W28" s="245"/>
      <c r="X28" s="246"/>
      <c r="Y28" s="227"/>
      <c r="Z28" s="235"/>
      <c r="AA28" s="229"/>
      <c r="AB28" s="229"/>
      <c r="AC28" s="229"/>
      <c r="AD28" s="241"/>
      <c r="AE28" s="241"/>
      <c r="AF28" s="229"/>
      <c r="AG28" s="229"/>
      <c r="AH28" s="229"/>
      <c r="AI28" s="40"/>
    </row>
    <row r="29" spans="3:36" ht="15.75" x14ac:dyDescent="0.25">
      <c r="C29" s="40"/>
      <c r="D29" s="229"/>
      <c r="E29" s="229"/>
      <c r="F29" s="229"/>
      <c r="G29" s="229"/>
      <c r="H29" s="233"/>
      <c r="I29" s="49"/>
      <c r="J29" s="49"/>
      <c r="K29" s="382" t="s">
        <v>11</v>
      </c>
      <c r="L29" s="382"/>
      <c r="M29" s="382"/>
      <c r="N29" s="382"/>
      <c r="O29" s="382"/>
      <c r="P29" s="382"/>
      <c r="Q29" s="382"/>
      <c r="R29" s="382"/>
      <c r="S29" s="49"/>
      <c r="T29" s="49"/>
      <c r="U29" s="49"/>
      <c r="V29" s="251">
        <f>V27*V22</f>
        <v>226996</v>
      </c>
      <c r="W29" s="245"/>
      <c r="X29" s="246" t="s">
        <v>10</v>
      </c>
      <c r="Y29" s="227"/>
      <c r="Z29" s="235"/>
      <c r="AA29" s="229"/>
      <c r="AB29" s="229"/>
      <c r="AC29" s="229"/>
      <c r="AD29" s="241"/>
      <c r="AE29" s="241"/>
      <c r="AF29" s="229"/>
      <c r="AG29" s="229"/>
      <c r="AH29" s="229"/>
      <c r="AI29" s="40"/>
    </row>
    <row r="30" spans="3:36" ht="15.95" customHeight="1" x14ac:dyDescent="0.25">
      <c r="C30" s="40"/>
      <c r="D30" s="229"/>
      <c r="E30" s="229"/>
      <c r="F30" s="229"/>
      <c r="G30" s="229"/>
      <c r="H30" s="233"/>
      <c r="I30" s="428"/>
      <c r="J30" s="428"/>
      <c r="K30" s="428"/>
      <c r="L30" s="428"/>
      <c r="M30" s="428"/>
      <c r="N30" s="428"/>
      <c r="O30" s="428"/>
      <c r="P30" s="428"/>
      <c r="Q30" s="428"/>
      <c r="R30" s="428"/>
      <c r="S30" s="428"/>
      <c r="T30" s="428"/>
      <c r="U30" s="428"/>
      <c r="V30" s="428"/>
      <c r="W30" s="428"/>
      <c r="X30" s="428"/>
      <c r="Y30" s="236"/>
      <c r="Z30" s="235"/>
      <c r="AA30" s="229"/>
      <c r="AB30" s="229"/>
      <c r="AC30" s="229"/>
      <c r="AD30" s="241"/>
      <c r="AE30" s="241"/>
      <c r="AF30" s="229"/>
      <c r="AG30" s="229"/>
      <c r="AH30" s="229"/>
      <c r="AI30" s="40"/>
    </row>
    <row r="31" spans="3:36" ht="11.1" customHeight="1" thickBot="1" x14ac:dyDescent="0.3">
      <c r="C31" s="190"/>
      <c r="D31" s="252"/>
      <c r="E31" s="252"/>
      <c r="F31" s="252"/>
      <c r="G31" s="253"/>
      <c r="H31" s="233"/>
      <c r="I31" s="49"/>
      <c r="J31" s="49"/>
      <c r="K31" s="49"/>
      <c r="L31" s="49"/>
      <c r="M31" s="254"/>
      <c r="N31" s="254"/>
      <c r="O31" s="254"/>
      <c r="P31" s="254"/>
      <c r="Q31" s="254"/>
      <c r="R31" s="254"/>
      <c r="S31" s="254"/>
      <c r="T31" s="254"/>
      <c r="U31" s="254"/>
      <c r="V31" s="254"/>
      <c r="W31" s="254"/>
      <c r="X31" s="254"/>
      <c r="Y31" s="255"/>
      <c r="Z31" s="235"/>
      <c r="AA31" s="252"/>
      <c r="AB31" s="252"/>
      <c r="AC31" s="252"/>
      <c r="AD31" s="256"/>
      <c r="AE31" s="256"/>
      <c r="AF31" s="252"/>
      <c r="AG31" s="252"/>
      <c r="AH31" s="252"/>
      <c r="AI31" s="40"/>
    </row>
    <row r="32" spans="3:36" ht="53.45" customHeight="1" x14ac:dyDescent="0.2">
      <c r="C32" s="43"/>
      <c r="D32" s="49"/>
      <c r="E32" s="49"/>
      <c r="F32" s="49"/>
      <c r="G32" s="49"/>
      <c r="H32" s="49"/>
      <c r="I32" s="356" t="s">
        <v>534</v>
      </c>
      <c r="J32" s="356"/>
      <c r="K32" s="356"/>
      <c r="L32" s="356"/>
      <c r="M32" s="356"/>
      <c r="N32" s="356"/>
      <c r="O32" s="356"/>
      <c r="P32" s="356"/>
      <c r="Q32" s="356"/>
      <c r="R32" s="356"/>
      <c r="S32" s="356"/>
      <c r="T32" s="356"/>
      <c r="U32" s="356"/>
      <c r="V32" s="356"/>
      <c r="W32" s="356"/>
      <c r="X32" s="356"/>
      <c r="Y32" s="254"/>
      <c r="Z32" s="49"/>
      <c r="AA32" s="49"/>
      <c r="AB32" s="49"/>
      <c r="AC32" s="49"/>
      <c r="AD32" s="144"/>
      <c r="AE32" s="144"/>
      <c r="AF32" s="49"/>
      <c r="AG32" s="49"/>
      <c r="AH32" s="49"/>
      <c r="AI32" s="45"/>
      <c r="AJ32" s="34"/>
    </row>
    <row r="33" spans="2:49" ht="11.1" customHeight="1" x14ac:dyDescent="0.2">
      <c r="B33" s="17"/>
      <c r="C33" s="42"/>
      <c r="D33" s="49"/>
      <c r="E33" s="49"/>
      <c r="F33" s="49"/>
      <c r="G33" s="49"/>
      <c r="H33" s="49"/>
      <c r="I33" s="49"/>
      <c r="J33" s="49"/>
      <c r="K33" s="49"/>
      <c r="L33" s="49"/>
      <c r="M33" s="254"/>
      <c r="N33" s="254"/>
      <c r="O33" s="254"/>
      <c r="P33" s="254"/>
      <c r="Q33" s="254"/>
      <c r="R33" s="254"/>
      <c r="S33" s="254"/>
      <c r="T33" s="254"/>
      <c r="U33" s="254"/>
      <c r="V33" s="254"/>
      <c r="W33" s="254"/>
      <c r="X33" s="254"/>
      <c r="Y33" s="254"/>
      <c r="Z33" s="49"/>
      <c r="AA33" s="49"/>
      <c r="AB33" s="49"/>
      <c r="AC33" s="49"/>
      <c r="AD33" s="144"/>
      <c r="AE33" s="144"/>
      <c r="AF33" s="49"/>
      <c r="AG33" s="49"/>
      <c r="AH33" s="49"/>
      <c r="AI33" s="47"/>
      <c r="AJ33" s="34"/>
    </row>
    <row r="34" spans="2:49" ht="15" customHeight="1" x14ac:dyDescent="0.2">
      <c r="B34" s="17"/>
      <c r="C34" s="42"/>
      <c r="D34" s="49"/>
      <c r="E34" s="374" t="s">
        <v>535</v>
      </c>
      <c r="F34" s="374"/>
      <c r="G34" s="374"/>
      <c r="H34" s="374"/>
      <c r="I34" s="374"/>
      <c r="J34" s="374"/>
      <c r="K34" s="374"/>
      <c r="L34" s="142"/>
      <c r="M34" s="254"/>
      <c r="N34" s="257" t="s">
        <v>13</v>
      </c>
      <c r="O34" s="254"/>
      <c r="P34" s="254"/>
      <c r="Q34" s="254"/>
      <c r="R34" s="254"/>
      <c r="S34" s="254"/>
      <c r="T34" s="254"/>
      <c r="U34" s="254"/>
      <c r="V34" s="430" t="s">
        <v>359</v>
      </c>
      <c r="W34" s="430"/>
      <c r="X34" s="430"/>
      <c r="Y34" s="430"/>
      <c r="Z34" s="430"/>
      <c r="AA34" s="430"/>
      <c r="AB34" s="430"/>
      <c r="AC34" s="430"/>
      <c r="AD34" s="238" t="s">
        <v>62</v>
      </c>
      <c r="AE34" s="239"/>
      <c r="AF34" s="49"/>
      <c r="AG34" s="49"/>
      <c r="AH34" s="49"/>
      <c r="AI34" s="47"/>
    </row>
    <row r="35" spans="2:49" ht="11.1" customHeight="1" x14ac:dyDescent="0.2">
      <c r="B35" s="17"/>
      <c r="C35" s="42"/>
      <c r="D35" s="49"/>
      <c r="E35" s="374"/>
      <c r="F35" s="374"/>
      <c r="G35" s="374"/>
      <c r="H35" s="374"/>
      <c r="I35" s="374"/>
      <c r="J35" s="374"/>
      <c r="K35" s="374"/>
      <c r="L35" s="142"/>
      <c r="M35" s="254"/>
      <c r="N35" s="254"/>
      <c r="O35" s="254"/>
      <c r="P35" s="254"/>
      <c r="Q35" s="254"/>
      <c r="R35" s="254"/>
      <c r="S35" s="254"/>
      <c r="T35" s="254"/>
      <c r="U35" s="254"/>
      <c r="V35" s="254"/>
      <c r="W35" s="254"/>
      <c r="X35" s="254"/>
      <c r="Y35" s="254"/>
      <c r="Z35" s="49"/>
      <c r="AA35" s="49"/>
      <c r="AB35" s="49"/>
      <c r="AC35" s="49"/>
      <c r="AD35" s="144"/>
      <c r="AE35" s="144"/>
      <c r="AF35" s="49"/>
      <c r="AG35" s="49"/>
      <c r="AH35" s="49"/>
      <c r="AI35" s="47"/>
    </row>
    <row r="36" spans="2:49" ht="27.6" customHeight="1" x14ac:dyDescent="0.2">
      <c r="C36" s="46"/>
      <c r="D36" s="142" t="s">
        <v>377</v>
      </c>
      <c r="E36" s="363" t="s">
        <v>517</v>
      </c>
      <c r="F36" s="363"/>
      <c r="G36" s="363"/>
      <c r="H36" s="363"/>
      <c r="I36" s="363"/>
      <c r="J36" s="363"/>
      <c r="K36" s="363"/>
      <c r="L36" s="363"/>
      <c r="M36" s="363"/>
      <c r="N36" s="363"/>
      <c r="O36" s="363"/>
      <c r="P36" s="363"/>
      <c r="Q36" s="363"/>
      <c r="R36" s="258"/>
      <c r="S36" s="49"/>
      <c r="T36" s="142" t="s">
        <v>378</v>
      </c>
      <c r="U36" s="432" t="s">
        <v>364</v>
      </c>
      <c r="V36" s="432"/>
      <c r="W36" s="432"/>
      <c r="X36" s="432"/>
      <c r="Y36" s="432"/>
      <c r="Z36" s="432"/>
      <c r="AA36" s="432"/>
      <c r="AB36" s="432"/>
      <c r="AC36" s="432"/>
      <c r="AD36" s="432"/>
      <c r="AE36" s="432"/>
      <c r="AF36" s="432"/>
      <c r="AG36" s="432"/>
      <c r="AH36" s="432"/>
      <c r="AI36" s="47"/>
    </row>
    <row r="37" spans="2:49" ht="14.45" customHeight="1" x14ac:dyDescent="0.2">
      <c r="C37" s="46"/>
      <c r="D37" s="428" t="s">
        <v>518</v>
      </c>
      <c r="E37" s="428"/>
      <c r="F37" s="428"/>
      <c r="G37" s="428"/>
      <c r="H37" s="428"/>
      <c r="I37" s="428"/>
      <c r="J37" s="428"/>
      <c r="K37" s="428"/>
      <c r="L37" s="428"/>
      <c r="M37" s="428"/>
      <c r="N37" s="428"/>
      <c r="O37" s="428"/>
      <c r="P37" s="428"/>
      <c r="Q37" s="428"/>
      <c r="R37" s="258"/>
      <c r="S37" s="49"/>
      <c r="T37" s="428" t="s">
        <v>360</v>
      </c>
      <c r="U37" s="428"/>
      <c r="V37" s="428"/>
      <c r="W37" s="428"/>
      <c r="X37" s="428"/>
      <c r="Y37" s="428"/>
      <c r="Z37" s="428"/>
      <c r="AA37" s="428"/>
      <c r="AB37" s="428"/>
      <c r="AC37" s="428"/>
      <c r="AD37" s="428"/>
      <c r="AE37" s="428"/>
      <c r="AF37" s="428"/>
      <c r="AG37" s="428"/>
      <c r="AH37" s="428"/>
      <c r="AI37" s="47"/>
    </row>
    <row r="38" spans="2:49" ht="23.1" customHeight="1" x14ac:dyDescent="0.2">
      <c r="C38" s="46"/>
      <c r="D38" s="428"/>
      <c r="E38" s="428"/>
      <c r="F38" s="428"/>
      <c r="G38" s="428"/>
      <c r="H38" s="428"/>
      <c r="I38" s="428"/>
      <c r="J38" s="428"/>
      <c r="K38" s="428"/>
      <c r="L38" s="428"/>
      <c r="M38" s="428"/>
      <c r="N38" s="428"/>
      <c r="O38" s="428"/>
      <c r="P38" s="428"/>
      <c r="Q38" s="428"/>
      <c r="R38" s="258"/>
      <c r="S38" s="49"/>
      <c r="T38" s="428"/>
      <c r="U38" s="428"/>
      <c r="V38" s="428"/>
      <c r="W38" s="428"/>
      <c r="X38" s="428"/>
      <c r="Y38" s="428"/>
      <c r="Z38" s="428"/>
      <c r="AA38" s="428"/>
      <c r="AB38" s="428"/>
      <c r="AC38" s="428"/>
      <c r="AD38" s="428"/>
      <c r="AE38" s="428"/>
      <c r="AF38" s="428"/>
      <c r="AG38" s="428"/>
      <c r="AH38" s="428"/>
      <c r="AI38" s="47"/>
    </row>
    <row r="39" spans="2:49" ht="78.95" customHeight="1" x14ac:dyDescent="0.2">
      <c r="C39" s="46"/>
      <c r="D39" s="428"/>
      <c r="E39" s="428"/>
      <c r="F39" s="428"/>
      <c r="G39" s="428"/>
      <c r="H39" s="428"/>
      <c r="I39" s="428"/>
      <c r="J39" s="428"/>
      <c r="K39" s="428"/>
      <c r="L39" s="428"/>
      <c r="M39" s="428"/>
      <c r="N39" s="428"/>
      <c r="O39" s="428"/>
      <c r="P39" s="428"/>
      <c r="Q39" s="428"/>
      <c r="R39" s="258"/>
      <c r="S39" s="49"/>
      <c r="T39" s="428"/>
      <c r="U39" s="428"/>
      <c r="V39" s="428"/>
      <c r="W39" s="428"/>
      <c r="X39" s="428"/>
      <c r="Y39" s="428"/>
      <c r="Z39" s="428"/>
      <c r="AA39" s="428"/>
      <c r="AB39" s="428"/>
      <c r="AC39" s="428"/>
      <c r="AD39" s="428"/>
      <c r="AE39" s="428"/>
      <c r="AF39" s="428"/>
      <c r="AG39" s="428"/>
      <c r="AH39" s="428"/>
      <c r="AI39" s="47"/>
    </row>
    <row r="40" spans="2:49" ht="2.4500000000000002" customHeight="1" x14ac:dyDescent="0.2">
      <c r="C40" s="46"/>
      <c r="D40" s="247"/>
      <c r="E40" s="247"/>
      <c r="F40" s="247"/>
      <c r="G40" s="247"/>
      <c r="H40" s="247"/>
      <c r="I40" s="247"/>
      <c r="J40" s="247"/>
      <c r="K40" s="247"/>
      <c r="L40" s="247"/>
      <c r="M40" s="247"/>
      <c r="N40" s="247"/>
      <c r="O40" s="247"/>
      <c r="P40" s="247"/>
      <c r="Q40" s="247"/>
      <c r="R40" s="258"/>
      <c r="S40" s="49"/>
      <c r="T40" s="247"/>
      <c r="U40" s="247"/>
      <c r="V40" s="247"/>
      <c r="W40" s="247"/>
      <c r="X40" s="247"/>
      <c r="Y40" s="247"/>
      <c r="Z40" s="247"/>
      <c r="AA40" s="247"/>
      <c r="AB40" s="247"/>
      <c r="AC40" s="247"/>
      <c r="AD40" s="247"/>
      <c r="AE40" s="247"/>
      <c r="AF40" s="247"/>
      <c r="AG40" s="247"/>
      <c r="AH40" s="247"/>
      <c r="AI40" s="47"/>
    </row>
    <row r="41" spans="2:49" ht="12.6" customHeight="1" x14ac:dyDescent="0.2">
      <c r="C41" s="46"/>
      <c r="D41" s="259"/>
      <c r="E41" s="259"/>
      <c r="F41" s="259"/>
      <c r="G41" s="259"/>
      <c r="H41" s="259"/>
      <c r="I41" s="259"/>
      <c r="J41" s="259"/>
      <c r="K41" s="259"/>
      <c r="L41" s="49"/>
      <c r="M41" s="49"/>
      <c r="N41" s="49"/>
      <c r="O41" s="49"/>
      <c r="P41" s="49"/>
      <c r="Q41" s="49"/>
      <c r="R41" s="258"/>
      <c r="S41" s="49"/>
      <c r="T41" s="66"/>
      <c r="U41" s="49"/>
      <c r="V41" s="49"/>
      <c r="W41" s="49"/>
      <c r="X41" s="49"/>
      <c r="Y41" s="49"/>
      <c r="Z41" s="49"/>
      <c r="AA41" s="49"/>
      <c r="AB41" s="49"/>
      <c r="AC41" s="49"/>
      <c r="AD41" s="49"/>
      <c r="AE41" s="49"/>
      <c r="AF41" s="49"/>
      <c r="AG41" s="49"/>
      <c r="AH41" s="49"/>
      <c r="AI41" s="47"/>
    </row>
    <row r="42" spans="2:49" ht="17.100000000000001" customHeight="1" x14ac:dyDescent="0.2">
      <c r="C42" s="46"/>
      <c r="D42" s="374" t="s">
        <v>519</v>
      </c>
      <c r="E42" s="374"/>
      <c r="F42" s="374"/>
      <c r="G42" s="374"/>
      <c r="H42" s="374"/>
      <c r="I42" s="374"/>
      <c r="J42" s="374"/>
      <c r="K42" s="144" t="s">
        <v>2</v>
      </c>
      <c r="L42" s="144"/>
      <c r="M42" s="49"/>
      <c r="N42" s="144" t="s">
        <v>3</v>
      </c>
      <c r="O42" s="49"/>
      <c r="P42" s="49"/>
      <c r="Q42" s="49"/>
      <c r="R42" s="258"/>
      <c r="S42" s="49"/>
      <c r="T42" s="374" t="s">
        <v>493</v>
      </c>
      <c r="U42" s="374"/>
      <c r="V42" s="374"/>
      <c r="W42" s="374"/>
      <c r="X42" s="374"/>
      <c r="Y42" s="374"/>
      <c r="Z42" s="374"/>
      <c r="AA42" s="374"/>
      <c r="AB42" s="374"/>
      <c r="AC42" s="374"/>
      <c r="AD42" s="144" t="s">
        <v>2</v>
      </c>
      <c r="AE42" s="49"/>
      <c r="AF42" s="49"/>
      <c r="AG42" s="49" t="s">
        <v>3</v>
      </c>
      <c r="AH42" s="49"/>
      <c r="AI42" s="47"/>
      <c r="AL42" s="20"/>
      <c r="AS42" s="21"/>
      <c r="AU42" s="21"/>
    </row>
    <row r="43" spans="2:49" ht="15.75" x14ac:dyDescent="0.2">
      <c r="C43" s="46"/>
      <c r="D43" s="49"/>
      <c r="E43" s="49"/>
      <c r="F43" s="49"/>
      <c r="G43" s="49"/>
      <c r="H43" s="49"/>
      <c r="I43" s="49"/>
      <c r="J43" s="49"/>
      <c r="K43" s="144"/>
      <c r="L43" s="144"/>
      <c r="M43" s="49"/>
      <c r="N43" s="144"/>
      <c r="O43" s="49"/>
      <c r="P43" s="49"/>
      <c r="Q43" s="49"/>
      <c r="R43" s="258"/>
      <c r="S43" s="49"/>
      <c r="T43" s="66"/>
      <c r="U43" s="49"/>
      <c r="V43" s="49"/>
      <c r="W43" s="49"/>
      <c r="X43" s="49"/>
      <c r="Y43" s="49"/>
      <c r="Z43" s="49"/>
      <c r="AA43" s="49"/>
      <c r="AB43" s="49"/>
      <c r="AC43" s="49"/>
      <c r="AD43" s="49"/>
      <c r="AE43" s="49"/>
      <c r="AF43" s="49"/>
      <c r="AG43" s="49"/>
      <c r="AH43" s="49"/>
      <c r="AI43" s="47"/>
      <c r="AL43" s="20"/>
      <c r="AS43" s="21"/>
      <c r="AU43" s="21"/>
    </row>
    <row r="44" spans="2:49" ht="16.5" customHeight="1" x14ac:dyDescent="0.2">
      <c r="C44" s="46"/>
      <c r="D44" s="374" t="s">
        <v>520</v>
      </c>
      <c r="E44" s="374"/>
      <c r="F44" s="374"/>
      <c r="G44" s="374"/>
      <c r="H44" s="374"/>
      <c r="I44" s="374"/>
      <c r="J44" s="374"/>
      <c r="K44" s="260" t="s">
        <v>353</v>
      </c>
      <c r="L44" s="261"/>
      <c r="M44" s="49"/>
      <c r="N44" s="244"/>
      <c r="O44" s="49"/>
      <c r="P44" s="49"/>
      <c r="Q44" s="49"/>
      <c r="R44" s="258"/>
      <c r="S44" s="49"/>
      <c r="T44" s="374" t="s">
        <v>362</v>
      </c>
      <c r="U44" s="374"/>
      <c r="V44" s="374"/>
      <c r="W44" s="374"/>
      <c r="X44" s="374"/>
      <c r="Y44" s="374"/>
      <c r="Z44" s="374"/>
      <c r="AA44" s="374"/>
      <c r="AB44" s="374"/>
      <c r="AC44" s="49"/>
      <c r="AD44" s="262" t="s">
        <v>368</v>
      </c>
      <c r="AE44" s="263"/>
      <c r="AF44" s="49"/>
      <c r="AG44" s="240"/>
      <c r="AH44" s="49"/>
      <c r="AI44" s="47"/>
      <c r="AL44" s="23"/>
      <c r="AT44" s="25"/>
    </row>
    <row r="45" spans="2:49" ht="17.45" customHeight="1" x14ac:dyDescent="0.2">
      <c r="C45" s="46"/>
      <c r="D45" s="49"/>
      <c r="E45" s="49"/>
      <c r="F45" s="49"/>
      <c r="G45" s="49"/>
      <c r="H45" s="49"/>
      <c r="I45" s="49"/>
      <c r="J45" s="49"/>
      <c r="K45" s="49" t="s">
        <v>547</v>
      </c>
      <c r="L45" s="49" t="str">
        <f>IF(ISNUMBER(L46),"Post 2025 discharge","")</f>
        <v/>
      </c>
      <c r="M45" s="49" t="s">
        <v>548</v>
      </c>
      <c r="N45" s="240"/>
      <c r="O45" s="49"/>
      <c r="P45" s="49"/>
      <c r="Q45" s="49"/>
      <c r="R45" s="258"/>
      <c r="S45" s="49"/>
      <c r="T45" s="374" t="s">
        <v>80</v>
      </c>
      <c r="U45" s="374"/>
      <c r="V45" s="374"/>
      <c r="W45" s="374"/>
      <c r="X45" s="374"/>
      <c r="Y45" s="374"/>
      <c r="Z45" s="374"/>
      <c r="AA45" s="374"/>
      <c r="AB45" s="49"/>
      <c r="AC45" s="49"/>
      <c r="AD45" s="264"/>
      <c r="AE45" s="264"/>
      <c r="AF45" s="265"/>
      <c r="AG45" s="240"/>
      <c r="AH45" s="49"/>
      <c r="AI45" s="47"/>
      <c r="AU45" s="26"/>
    </row>
    <row r="46" spans="2:49" ht="27" customHeight="1" x14ac:dyDescent="0.2">
      <c r="C46" s="46"/>
      <c r="D46" s="374" t="s">
        <v>521</v>
      </c>
      <c r="E46" s="374"/>
      <c r="F46" s="374"/>
      <c r="G46" s="49"/>
      <c r="H46" s="49"/>
      <c r="I46" s="49"/>
      <c r="J46" s="49"/>
      <c r="K46" s="266">
        <f>INDEX(permits,MATCH('Stage 1'!K44,Wastewater,0),3)</f>
        <v>0.9</v>
      </c>
      <c r="L46" s="264" t="str">
        <f>IF(INDEX(permits,MATCH('Stage 1'!K44,Wastewater,0),6)=K46,"",INDEX(permits,MATCH('Stage 1'!K44,Wastewater,0),6))</f>
        <v/>
      </c>
      <c r="M46" s="266">
        <f>INDEX(permits_2030,MATCH('Stage 1'!K44,Wastewater,0),9)</f>
        <v>0.22500000000000001</v>
      </c>
      <c r="N46" s="240" t="s">
        <v>363</v>
      </c>
      <c r="O46" s="49"/>
      <c r="P46" s="237"/>
      <c r="Q46" s="49"/>
      <c r="R46" s="258"/>
      <c r="S46" s="49"/>
      <c r="T46" s="374" t="s">
        <v>365</v>
      </c>
      <c r="U46" s="374"/>
      <c r="V46" s="374"/>
      <c r="W46" s="374"/>
      <c r="X46" s="374"/>
      <c r="Y46" s="49"/>
      <c r="Z46" s="49"/>
      <c r="AA46" s="49"/>
      <c r="AB46" s="49"/>
      <c r="AC46" s="49"/>
      <c r="AD46" s="267" t="str">
        <f>INDEX(Table3[],MATCH('Stage 1'!AD44,OsTWs,0),2)</f>
        <v>Please enter effluent concentration in cell to right:</v>
      </c>
      <c r="AE46" s="276"/>
      <c r="AF46" s="265"/>
      <c r="AG46" s="240" t="s">
        <v>363</v>
      </c>
      <c r="AH46" s="49"/>
      <c r="AI46" s="47"/>
      <c r="AL46" s="24"/>
      <c r="AS46" s="19"/>
      <c r="AU46" s="27"/>
      <c r="AW46" s="28"/>
    </row>
    <row r="47" spans="2:49" ht="28.5" customHeight="1" x14ac:dyDescent="0.2">
      <c r="C47" s="46"/>
      <c r="D47" s="142" t="s">
        <v>522</v>
      </c>
      <c r="E47" s="142"/>
      <c r="F47" s="142"/>
      <c r="G47" s="49"/>
      <c r="H47" s="49"/>
      <c r="I47" s="49"/>
      <c r="J47" s="49"/>
      <c r="K47" s="268">
        <f>INDEX(permits,MATCH('Stage 1'!K44,Wastewater,0),4)</f>
        <v>25</v>
      </c>
      <c r="L47" s="264"/>
      <c r="M47" s="268">
        <f>INDEX(permits_2030,MATCH('Stage 1'!K44,Wastewater,0),10)</f>
        <v>9</v>
      </c>
      <c r="N47" s="240" t="s">
        <v>363</v>
      </c>
      <c r="O47" s="49"/>
      <c r="P47" s="237"/>
      <c r="Q47" s="49"/>
      <c r="R47" s="258"/>
      <c r="S47" s="49"/>
      <c r="T47" s="374" t="s">
        <v>366</v>
      </c>
      <c r="U47" s="374"/>
      <c r="V47" s="374"/>
      <c r="W47" s="374"/>
      <c r="X47" s="374"/>
      <c r="Y47" s="49"/>
      <c r="Z47" s="49"/>
      <c r="AA47" s="49"/>
      <c r="AB47" s="49"/>
      <c r="AC47" s="49"/>
      <c r="AD47" s="267" t="str">
        <f>INDEX(Table3[],MATCH('Stage 1'!AD44,OsTWs,0),3)</f>
        <v>Please enter effluent concentration in cell to right:</v>
      </c>
      <c r="AE47" s="277"/>
      <c r="AF47" s="265"/>
      <c r="AG47" s="240" t="s">
        <v>363</v>
      </c>
      <c r="AH47" s="49"/>
      <c r="AI47" s="47"/>
      <c r="AL47" s="24"/>
      <c r="AS47" s="19"/>
      <c r="AU47" s="27"/>
      <c r="AW47" s="28"/>
    </row>
    <row r="48" spans="2:49" ht="15" customHeight="1" x14ac:dyDescent="0.2">
      <c r="C48" s="46"/>
      <c r="D48" s="146"/>
      <c r="E48" s="146"/>
      <c r="F48" s="146"/>
      <c r="G48" s="49"/>
      <c r="H48" s="49"/>
      <c r="I48" s="49"/>
      <c r="J48" s="49"/>
      <c r="K48" s="269"/>
      <c r="L48" s="269"/>
      <c r="M48" s="49"/>
      <c r="N48" s="246"/>
      <c r="O48" s="49"/>
      <c r="P48" s="237"/>
      <c r="Q48" s="49"/>
      <c r="R48" s="258"/>
      <c r="S48" s="49"/>
      <c r="T48" s="49"/>
      <c r="U48" s="49"/>
      <c r="V48" s="49"/>
      <c r="W48" s="49"/>
      <c r="X48" s="49"/>
      <c r="Y48" s="49"/>
      <c r="Z48" s="49"/>
      <c r="AA48" s="49"/>
      <c r="AB48" s="49"/>
      <c r="AC48" s="49"/>
      <c r="AD48" s="264"/>
      <c r="AE48" s="264"/>
      <c r="AF48" s="265"/>
      <c r="AG48" s="240"/>
      <c r="AH48" s="66"/>
      <c r="AI48" s="47"/>
      <c r="AL48" s="24"/>
      <c r="AS48" s="19"/>
      <c r="AU48" s="27"/>
      <c r="AW48" s="28"/>
    </row>
    <row r="49" spans="2:50" ht="51.6" customHeight="1" x14ac:dyDescent="0.2">
      <c r="C49" s="46"/>
      <c r="D49" s="428" t="s">
        <v>526</v>
      </c>
      <c r="E49" s="428"/>
      <c r="F49" s="428"/>
      <c r="G49" s="428"/>
      <c r="H49" s="428"/>
      <c r="I49" s="428"/>
      <c r="J49" s="428"/>
      <c r="K49" s="428"/>
      <c r="L49" s="428"/>
      <c r="M49" s="428"/>
      <c r="N49" s="428"/>
      <c r="O49" s="428"/>
      <c r="P49" s="428"/>
      <c r="Q49" s="428"/>
      <c r="R49" s="258"/>
      <c r="S49" s="49"/>
      <c r="T49" s="428" t="s">
        <v>367</v>
      </c>
      <c r="U49" s="428"/>
      <c r="V49" s="428"/>
      <c r="W49" s="428"/>
      <c r="X49" s="428"/>
      <c r="Y49" s="428"/>
      <c r="Z49" s="428"/>
      <c r="AA49" s="428"/>
      <c r="AB49" s="428"/>
      <c r="AC49" s="428"/>
      <c r="AD49" s="428"/>
      <c r="AE49" s="428"/>
      <c r="AF49" s="428"/>
      <c r="AG49" s="428"/>
      <c r="AH49" s="428"/>
      <c r="AI49" s="47"/>
      <c r="AL49" s="436"/>
      <c r="AM49" s="436"/>
      <c r="AN49" s="436"/>
      <c r="AO49" s="436"/>
      <c r="AP49" s="436"/>
      <c r="AQ49" s="436"/>
      <c r="AR49" s="436"/>
      <c r="AS49" s="436"/>
      <c r="AT49" s="436"/>
      <c r="AU49" s="436"/>
      <c r="AV49" s="436"/>
      <c r="AW49" s="436"/>
      <c r="AX49" s="436"/>
    </row>
    <row r="50" spans="2:50" ht="15.75" x14ac:dyDescent="0.2">
      <c r="C50" s="46"/>
      <c r="D50" s="270"/>
      <c r="E50" s="270"/>
      <c r="F50" s="270"/>
      <c r="G50" s="270"/>
      <c r="H50" s="270"/>
      <c r="I50" s="270"/>
      <c r="J50" s="270"/>
      <c r="K50" s="247"/>
      <c r="L50" s="247"/>
      <c r="M50" s="270"/>
      <c r="N50" s="270"/>
      <c r="O50" s="270"/>
      <c r="P50" s="270"/>
      <c r="Q50" s="270"/>
      <c r="R50" s="258"/>
      <c r="S50" s="49"/>
      <c r="T50" s="247"/>
      <c r="U50" s="247"/>
      <c r="V50" s="247"/>
      <c r="W50" s="247"/>
      <c r="X50" s="247"/>
      <c r="Y50" s="247"/>
      <c r="Z50" s="247"/>
      <c r="AA50" s="247"/>
      <c r="AB50" s="247"/>
      <c r="AC50" s="247"/>
      <c r="AD50" s="247"/>
      <c r="AE50" s="247"/>
      <c r="AF50" s="247"/>
      <c r="AG50" s="247"/>
      <c r="AH50" s="247"/>
      <c r="AI50" s="47"/>
      <c r="AL50" s="31"/>
      <c r="AM50" s="31"/>
      <c r="AN50" s="31"/>
      <c r="AO50" s="31"/>
      <c r="AP50" s="31"/>
      <c r="AQ50" s="31"/>
      <c r="AR50" s="31"/>
      <c r="AS50" s="31"/>
      <c r="AT50" s="31"/>
      <c r="AU50" s="31"/>
      <c r="AV50" s="31"/>
      <c r="AW50" s="31"/>
      <c r="AX50" s="31"/>
    </row>
    <row r="51" spans="2:50" ht="15.75" x14ac:dyDescent="0.2">
      <c r="C51" s="46"/>
      <c r="D51" s="49"/>
      <c r="E51" s="49"/>
      <c r="F51" s="49"/>
      <c r="G51" s="49"/>
      <c r="H51" s="49"/>
      <c r="I51" s="49"/>
      <c r="J51" s="49"/>
      <c r="K51" s="49"/>
      <c r="L51" s="49"/>
      <c r="M51" s="49"/>
      <c r="N51" s="49"/>
      <c r="O51" s="49"/>
      <c r="P51" s="49"/>
      <c r="Q51" s="49"/>
      <c r="R51" s="258"/>
      <c r="S51" s="49"/>
      <c r="T51" s="49"/>
      <c r="U51" s="49"/>
      <c r="V51" s="49"/>
      <c r="W51" s="49"/>
      <c r="X51" s="49"/>
      <c r="Y51" s="49"/>
      <c r="Z51" s="49"/>
      <c r="AA51" s="49"/>
      <c r="AB51" s="49"/>
      <c r="AC51" s="49"/>
      <c r="AD51" s="49"/>
      <c r="AE51" s="49"/>
      <c r="AF51" s="49"/>
      <c r="AG51" s="49"/>
      <c r="AH51" s="49"/>
      <c r="AI51" s="47"/>
    </row>
    <row r="52" spans="2:50" ht="15.75" x14ac:dyDescent="0.2">
      <c r="C52" s="46"/>
      <c r="D52" s="374" t="s">
        <v>523</v>
      </c>
      <c r="E52" s="374"/>
      <c r="F52" s="374"/>
      <c r="G52" s="374"/>
      <c r="H52" s="374"/>
      <c r="I52" s="374"/>
      <c r="J52" s="374"/>
      <c r="K52" s="144" t="s">
        <v>2</v>
      </c>
      <c r="L52" s="144"/>
      <c r="M52" s="66"/>
      <c r="N52" s="144" t="s">
        <v>3</v>
      </c>
      <c r="O52" s="49"/>
      <c r="P52" s="49"/>
      <c r="Q52" s="49"/>
      <c r="R52" s="258"/>
      <c r="S52" s="49"/>
      <c r="T52" s="374" t="s">
        <v>511</v>
      </c>
      <c r="U52" s="374"/>
      <c r="V52" s="374"/>
      <c r="W52" s="374"/>
      <c r="X52" s="374"/>
      <c r="Y52" s="374"/>
      <c r="Z52" s="374"/>
      <c r="AA52" s="374"/>
      <c r="AB52" s="374"/>
      <c r="AC52" s="374"/>
      <c r="AD52" s="144" t="s">
        <v>2</v>
      </c>
      <c r="AE52" s="49"/>
      <c r="AF52" s="49"/>
      <c r="AG52" s="49" t="s">
        <v>3</v>
      </c>
      <c r="AH52" s="49"/>
      <c r="AI52" s="47"/>
      <c r="AL52" s="20"/>
      <c r="AS52" s="21"/>
      <c r="AU52" s="21"/>
    </row>
    <row r="53" spans="2:50" ht="15.75" x14ac:dyDescent="0.2">
      <c r="C53" s="46"/>
      <c r="D53" s="49"/>
      <c r="E53" s="49"/>
      <c r="F53" s="49"/>
      <c r="G53" s="49"/>
      <c r="H53" s="49"/>
      <c r="I53" s="49"/>
      <c r="J53" s="49"/>
      <c r="K53" s="49" t="s">
        <v>547</v>
      </c>
      <c r="L53" s="49" t="str">
        <f>IF(ISNUMBER(L54),"Post 2025 discharge","")</f>
        <v/>
      </c>
      <c r="M53" s="49" t="s">
        <v>548</v>
      </c>
      <c r="N53" s="144"/>
      <c r="O53" s="49"/>
      <c r="P53" s="49"/>
      <c r="Q53" s="49"/>
      <c r="R53" s="258"/>
      <c r="S53" s="49"/>
      <c r="T53" s="49"/>
      <c r="U53" s="49"/>
      <c r="V53" s="49"/>
      <c r="W53" s="49"/>
      <c r="X53" s="49"/>
      <c r="Y53" s="49"/>
      <c r="Z53" s="49"/>
      <c r="AA53" s="49"/>
      <c r="AB53" s="49"/>
      <c r="AC53" s="49"/>
      <c r="AD53" s="49"/>
      <c r="AE53" s="49"/>
      <c r="AF53" s="49"/>
      <c r="AG53" s="49"/>
      <c r="AH53" s="49"/>
      <c r="AI53" s="47"/>
      <c r="AL53" s="32"/>
      <c r="AS53" s="21"/>
      <c r="AU53" s="21"/>
    </row>
    <row r="54" spans="2:50" ht="31.5" x14ac:dyDescent="0.2">
      <c r="B54" s="17"/>
      <c r="C54" s="46"/>
      <c r="D54" s="374" t="s">
        <v>524</v>
      </c>
      <c r="E54" s="374"/>
      <c r="F54" s="374"/>
      <c r="G54" s="49"/>
      <c r="H54" s="49"/>
      <c r="I54" s="49"/>
      <c r="J54" s="49"/>
      <c r="K54" s="268">
        <f>IF(N34="Yes",((K46*V29)/1000000)*365.25,0)</f>
        <v>74.619260099999991</v>
      </c>
      <c r="L54" s="264" t="str">
        <f>IF(ISNUMBER(L46),IF(N34="Yes",((L46*V29)/1000000)*365.25,0),"")</f>
        <v/>
      </c>
      <c r="M54" s="268">
        <f>IF(N34="Yes",((M46*V29)/1000000)*365.25,0)</f>
        <v>18.654815024999998</v>
      </c>
      <c r="N54" s="244" t="s">
        <v>35</v>
      </c>
      <c r="O54" s="49"/>
      <c r="P54" s="49"/>
      <c r="Q54" s="49"/>
      <c r="R54" s="258"/>
      <c r="S54" s="49"/>
      <c r="T54" s="374" t="s">
        <v>494</v>
      </c>
      <c r="U54" s="374"/>
      <c r="V54" s="374"/>
      <c r="W54" s="374"/>
      <c r="X54" s="374"/>
      <c r="Y54" s="374"/>
      <c r="Z54" s="374"/>
      <c r="AA54" s="374"/>
      <c r="AB54" s="49"/>
      <c r="AC54" s="49"/>
      <c r="AD54" s="268">
        <f>IF(AD34="Yes",((IF(AE46&gt;0,AE46*V29,AD46*V29))/1000000)*365.25,0)</f>
        <v>0</v>
      </c>
      <c r="AE54" s="269"/>
      <c r="AF54" s="49"/>
      <c r="AG54" s="240" t="s">
        <v>35</v>
      </c>
      <c r="AH54" s="49"/>
      <c r="AI54" s="47"/>
      <c r="AL54" s="23"/>
      <c r="AS54" s="15"/>
      <c r="AU54" s="29"/>
    </row>
    <row r="55" spans="2:50" ht="14.1" customHeight="1" x14ac:dyDescent="0.2">
      <c r="B55" s="17"/>
      <c r="C55" s="42"/>
      <c r="D55" s="374" t="s">
        <v>525</v>
      </c>
      <c r="E55" s="374"/>
      <c r="F55" s="374"/>
      <c r="G55" s="49"/>
      <c r="H55" s="49"/>
      <c r="I55" s="49"/>
      <c r="J55" s="49"/>
      <c r="K55" s="268">
        <f>IF(N34="Yes",((K47*V29)/1000000)*365.25,0)</f>
        <v>2072.7572249999998</v>
      </c>
      <c r="L55" s="264"/>
      <c r="M55" s="268">
        <f>IF(N34="Yes",((M47*V29)/1000000)*365.25,0)</f>
        <v>746.19260099999997</v>
      </c>
      <c r="N55" s="244" t="s">
        <v>35</v>
      </c>
      <c r="O55" s="49"/>
      <c r="P55" s="49"/>
      <c r="Q55" s="49"/>
      <c r="R55" s="258"/>
      <c r="S55" s="49"/>
      <c r="T55" s="374" t="s">
        <v>495</v>
      </c>
      <c r="U55" s="374"/>
      <c r="V55" s="374"/>
      <c r="W55" s="374"/>
      <c r="X55" s="374"/>
      <c r="Y55" s="374"/>
      <c r="Z55" s="374"/>
      <c r="AA55" s="374"/>
      <c r="AB55" s="49"/>
      <c r="AC55" s="49"/>
      <c r="AD55" s="268">
        <f>IF(AD34="Yes",((IF(AE47&gt;0,AE47*V29,AD47*V29))/1000000)*365.25,0)</f>
        <v>0</v>
      </c>
      <c r="AE55" s="49"/>
      <c r="AF55" s="49"/>
      <c r="AG55" s="240" t="s">
        <v>35</v>
      </c>
      <c r="AH55" s="49"/>
      <c r="AI55" s="47"/>
      <c r="AL55" s="23"/>
      <c r="AS55" s="30"/>
      <c r="AU55" s="22"/>
    </row>
    <row r="56" spans="2:50" ht="17.100000000000001" customHeight="1" x14ac:dyDescent="0.2">
      <c r="B56" s="17"/>
      <c r="C56" s="42"/>
      <c r="D56" s="49"/>
      <c r="E56" s="49"/>
      <c r="F56" s="49"/>
      <c r="G56" s="49"/>
      <c r="H56" s="49"/>
      <c r="I56" s="49"/>
      <c r="J56" s="49"/>
      <c r="K56" s="49"/>
      <c r="L56" s="49"/>
      <c r="M56" s="49"/>
      <c r="N56" s="240"/>
      <c r="O56" s="49"/>
      <c r="P56" s="49"/>
      <c r="Q56" s="49"/>
      <c r="R56" s="258"/>
      <c r="S56" s="49"/>
      <c r="T56" s="49"/>
      <c r="U56" s="49"/>
      <c r="V56" s="49"/>
      <c r="W56" s="49"/>
      <c r="X56" s="49"/>
      <c r="Y56" s="49"/>
      <c r="Z56" s="49"/>
      <c r="AA56" s="49"/>
      <c r="AB56" s="49"/>
      <c r="AC56" s="49"/>
      <c r="AD56" s="49"/>
      <c r="AE56" s="49"/>
      <c r="AF56" s="49"/>
      <c r="AG56" s="49"/>
      <c r="AH56" s="49"/>
      <c r="AI56" s="47"/>
      <c r="AU56" s="22"/>
    </row>
    <row r="57" spans="2:50" ht="16.5" thickBot="1" x14ac:dyDescent="0.3">
      <c r="B57" s="17"/>
      <c r="C57" s="50"/>
      <c r="D57" s="271"/>
      <c r="E57" s="271"/>
      <c r="F57" s="271"/>
      <c r="G57" s="271"/>
      <c r="H57" s="227"/>
      <c r="I57" s="227"/>
      <c r="J57" s="227"/>
      <c r="K57" s="227"/>
      <c r="L57" s="227"/>
      <c r="M57" s="227"/>
      <c r="N57" s="227"/>
      <c r="O57" s="227"/>
      <c r="P57" s="227"/>
      <c r="Q57" s="227"/>
      <c r="R57" s="227"/>
      <c r="S57" s="227"/>
      <c r="T57" s="227"/>
      <c r="U57" s="227"/>
      <c r="V57" s="227"/>
      <c r="W57" s="227"/>
      <c r="X57" s="227"/>
      <c r="Y57" s="227"/>
      <c r="Z57" s="227"/>
      <c r="AA57" s="271"/>
      <c r="AB57" s="271"/>
      <c r="AC57" s="271"/>
      <c r="AD57" s="271"/>
      <c r="AE57" s="271"/>
      <c r="AF57" s="271"/>
      <c r="AG57" s="271"/>
      <c r="AH57" s="271"/>
      <c r="AI57" s="52"/>
    </row>
    <row r="58" spans="2:50" ht="15.75" x14ac:dyDescent="0.25">
      <c r="C58" s="40"/>
      <c r="D58" s="229"/>
      <c r="E58" s="229"/>
      <c r="F58" s="229"/>
      <c r="G58" s="229"/>
      <c r="H58" s="233"/>
      <c r="I58" s="272"/>
      <c r="J58" s="272"/>
      <c r="K58" s="272"/>
      <c r="L58" s="272"/>
      <c r="M58" s="272"/>
      <c r="N58" s="272"/>
      <c r="O58" s="272"/>
      <c r="P58" s="272"/>
      <c r="Q58" s="272"/>
      <c r="R58" s="272"/>
      <c r="S58" s="272"/>
      <c r="T58" s="272"/>
      <c r="U58" s="272"/>
      <c r="V58" s="272"/>
      <c r="W58" s="272"/>
      <c r="X58" s="272"/>
      <c r="Y58" s="227"/>
      <c r="Z58" s="235"/>
      <c r="AA58" s="229"/>
      <c r="AB58" s="229"/>
      <c r="AC58" s="229"/>
      <c r="AD58" s="229"/>
      <c r="AE58" s="229"/>
      <c r="AF58" s="229"/>
      <c r="AG58" s="229"/>
      <c r="AH58" s="229"/>
      <c r="AI58" s="40"/>
    </row>
    <row r="59" spans="2:50" ht="15.75" x14ac:dyDescent="0.25">
      <c r="C59" s="40"/>
      <c r="D59" s="229"/>
      <c r="E59" s="229"/>
      <c r="F59" s="229"/>
      <c r="G59" s="229"/>
      <c r="H59" s="233"/>
      <c r="I59" s="227"/>
      <c r="J59" s="48" t="s">
        <v>14</v>
      </c>
      <c r="K59" s="374" t="s">
        <v>405</v>
      </c>
      <c r="L59" s="374"/>
      <c r="M59" s="374"/>
      <c r="N59" s="374"/>
      <c r="O59" s="49"/>
      <c r="P59" s="49"/>
      <c r="Q59" s="49"/>
      <c r="R59" s="49"/>
      <c r="S59" s="49"/>
      <c r="T59" s="49"/>
      <c r="U59" s="144" t="s">
        <v>2</v>
      </c>
      <c r="V59" s="49" t="str">
        <f>IF(ISNUMBER(L45),"Value","")</f>
        <v/>
      </c>
      <c r="W59" s="49"/>
      <c r="X59" s="144" t="s">
        <v>3</v>
      </c>
      <c r="Y59" s="227"/>
      <c r="Z59" s="235"/>
      <c r="AA59" s="229"/>
      <c r="AB59" s="229"/>
      <c r="AC59" s="229"/>
      <c r="AD59" s="229"/>
      <c r="AE59" s="229"/>
      <c r="AF59" s="229"/>
      <c r="AG59" s="229"/>
      <c r="AH59" s="229"/>
      <c r="AI59" s="40"/>
    </row>
    <row r="60" spans="2:50" ht="15.75" x14ac:dyDescent="0.25">
      <c r="C60" s="40"/>
      <c r="D60" s="229"/>
      <c r="E60" s="229"/>
      <c r="F60" s="229"/>
      <c r="G60" s="229"/>
      <c r="H60" s="233"/>
      <c r="I60" s="227"/>
      <c r="J60" s="49"/>
      <c r="K60" s="49"/>
      <c r="L60" s="49"/>
      <c r="M60" s="49"/>
      <c r="N60" s="49"/>
      <c r="O60" s="49"/>
      <c r="P60" s="49"/>
      <c r="Q60" s="49"/>
      <c r="R60" s="49"/>
      <c r="S60" s="49"/>
      <c r="T60" s="49"/>
      <c r="U60" s="49" t="s">
        <v>550</v>
      </c>
      <c r="V60" s="49" t="str">
        <f>IF(ISNUMBER(L46),"Post 2025","")</f>
        <v/>
      </c>
      <c r="W60" s="49" t="s">
        <v>549</v>
      </c>
      <c r="X60" s="49"/>
      <c r="Y60" s="227"/>
      <c r="Z60" s="235"/>
      <c r="AA60" s="229"/>
      <c r="AB60" s="229"/>
      <c r="AC60" s="229"/>
      <c r="AD60" s="229"/>
      <c r="AE60" s="229"/>
      <c r="AF60" s="229"/>
      <c r="AG60" s="229"/>
      <c r="AH60" s="229"/>
      <c r="AI60" s="40"/>
    </row>
    <row r="61" spans="2:50" ht="15.75" x14ac:dyDescent="0.25">
      <c r="C61" s="40"/>
      <c r="D61" s="229"/>
      <c r="E61" s="229"/>
      <c r="F61" s="229"/>
      <c r="G61" s="229"/>
      <c r="H61" s="233"/>
      <c r="I61" s="227"/>
      <c r="J61" s="49"/>
      <c r="K61" s="382" t="s">
        <v>496</v>
      </c>
      <c r="L61" s="382"/>
      <c r="M61" s="382"/>
      <c r="N61" s="382"/>
      <c r="O61" s="382"/>
      <c r="P61" s="38"/>
      <c r="Q61" s="38"/>
      <c r="R61" s="38"/>
      <c r="S61" s="38"/>
      <c r="T61" s="38"/>
      <c r="U61" s="273">
        <f>(K54+AD54)</f>
        <v>74.619260099999991</v>
      </c>
      <c r="V61" s="269" t="str">
        <f>IF(ISNUMBER(L46),L54+AD54,"")</f>
        <v/>
      </c>
      <c r="W61" s="273">
        <f>(M54+AD54)</f>
        <v>18.654815024999998</v>
      </c>
      <c r="X61" s="246" t="s">
        <v>15</v>
      </c>
      <c r="Y61" s="227"/>
      <c r="Z61" s="235"/>
      <c r="AA61" s="229"/>
      <c r="AB61" s="229"/>
      <c r="AC61" s="229"/>
      <c r="AD61" s="229"/>
      <c r="AE61" s="229"/>
      <c r="AF61" s="229"/>
      <c r="AG61" s="229"/>
      <c r="AH61" s="229"/>
      <c r="AI61" s="40"/>
    </row>
    <row r="62" spans="2:50" ht="15.75" x14ac:dyDescent="0.25">
      <c r="C62" s="40"/>
      <c r="D62" s="229"/>
      <c r="E62" s="229"/>
      <c r="F62" s="229"/>
      <c r="G62" s="229"/>
      <c r="H62" s="233"/>
      <c r="I62" s="227"/>
      <c r="J62" s="49"/>
      <c r="K62" s="49"/>
      <c r="L62" s="49"/>
      <c r="M62" s="49"/>
      <c r="N62" s="49"/>
      <c r="O62" s="49"/>
      <c r="P62" s="49"/>
      <c r="Q62" s="49"/>
      <c r="R62" s="49"/>
      <c r="S62" s="49"/>
      <c r="T62" s="49"/>
      <c r="U62" s="49"/>
      <c r="V62" s="49"/>
      <c r="W62" s="49"/>
      <c r="X62" s="246"/>
      <c r="Y62" s="227"/>
      <c r="Z62" s="235"/>
      <c r="AA62" s="229"/>
      <c r="AB62" s="229"/>
      <c r="AC62" s="229"/>
      <c r="AD62" s="229"/>
      <c r="AE62" s="229"/>
      <c r="AF62" s="229"/>
      <c r="AG62" s="229"/>
      <c r="AH62" s="229"/>
      <c r="AI62" s="40"/>
    </row>
    <row r="63" spans="2:50" ht="10.5" customHeight="1" x14ac:dyDescent="0.25">
      <c r="C63" s="40"/>
      <c r="D63" s="229"/>
      <c r="E63" s="229"/>
      <c r="F63" s="229"/>
      <c r="G63" s="229"/>
      <c r="H63" s="233"/>
      <c r="I63" s="227"/>
      <c r="J63" s="49"/>
      <c r="K63" s="435" t="s">
        <v>579</v>
      </c>
      <c r="L63" s="435"/>
      <c r="M63" s="435"/>
      <c r="N63" s="435"/>
      <c r="O63" s="226"/>
      <c r="P63" s="226"/>
      <c r="Q63" s="226"/>
      <c r="R63" s="226"/>
      <c r="S63" s="226"/>
      <c r="T63" s="226"/>
      <c r="U63" s="273">
        <f>(K55+AD55)</f>
        <v>2072.7572249999998</v>
      </c>
      <c r="V63" s="269"/>
      <c r="W63" s="273">
        <f>(M55+AD55)</f>
        <v>746.19260099999997</v>
      </c>
      <c r="X63" s="246" t="s">
        <v>15</v>
      </c>
      <c r="Y63" s="227"/>
      <c r="Z63" s="235"/>
      <c r="AA63" s="229"/>
      <c r="AB63" s="229"/>
      <c r="AC63" s="229"/>
      <c r="AD63" s="229"/>
      <c r="AE63" s="229"/>
      <c r="AF63" s="229"/>
      <c r="AG63" s="229"/>
      <c r="AH63" s="229"/>
      <c r="AI63" s="40"/>
    </row>
    <row r="64" spans="2:50" ht="16.5" thickBot="1" x14ac:dyDescent="0.3">
      <c r="C64" s="40"/>
      <c r="D64" s="229"/>
      <c r="E64" s="229"/>
      <c r="F64" s="229"/>
      <c r="G64" s="229"/>
      <c r="H64" s="274"/>
      <c r="I64" s="271"/>
      <c r="J64" s="271"/>
      <c r="K64" s="271"/>
      <c r="L64" s="271"/>
      <c r="M64" s="271"/>
      <c r="N64" s="271"/>
      <c r="O64" s="271"/>
      <c r="P64" s="271"/>
      <c r="Q64" s="271"/>
      <c r="R64" s="271"/>
      <c r="S64" s="271"/>
      <c r="T64" s="271"/>
      <c r="U64" s="271"/>
      <c r="V64" s="271"/>
      <c r="W64" s="271"/>
      <c r="X64" s="271"/>
      <c r="Y64" s="271"/>
      <c r="Z64" s="275"/>
      <c r="AA64" s="229"/>
      <c r="AB64" s="229"/>
      <c r="AC64" s="229"/>
      <c r="AD64" s="229"/>
      <c r="AE64" s="229"/>
      <c r="AF64" s="229"/>
      <c r="AG64" s="229"/>
      <c r="AH64" s="229"/>
      <c r="AI64" s="40"/>
    </row>
    <row r="65" spans="4:34" ht="15" x14ac:dyDescent="0.2">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row>
    <row r="66" spans="4:34" ht="15" x14ac:dyDescent="0.2">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row>
  </sheetData>
  <sheetProtection selectLockedCells="1"/>
  <mergeCells count="45">
    <mergeCell ref="K63:N63"/>
    <mergeCell ref="T46:X46"/>
    <mergeCell ref="T47:X47"/>
    <mergeCell ref="T54:AA54"/>
    <mergeCell ref="AL49:AX49"/>
    <mergeCell ref="T55:AA55"/>
    <mergeCell ref="K3:X3"/>
    <mergeCell ref="I4:X6"/>
    <mergeCell ref="I30:X30"/>
    <mergeCell ref="I3:J3"/>
    <mergeCell ref="I32:X32"/>
    <mergeCell ref="K8:U8"/>
    <mergeCell ref="K15:U15"/>
    <mergeCell ref="K17:U17"/>
    <mergeCell ref="K18:U18"/>
    <mergeCell ref="K12:N12"/>
    <mergeCell ref="K19:U19"/>
    <mergeCell ref="K20:U20"/>
    <mergeCell ref="D37:Q39"/>
    <mergeCell ref="T37:AH39"/>
    <mergeCell ref="D49:Q49"/>
    <mergeCell ref="T49:AH49"/>
    <mergeCell ref="K22:U22"/>
    <mergeCell ref="V34:AC34"/>
    <mergeCell ref="E34:K35"/>
    <mergeCell ref="K29:R29"/>
    <mergeCell ref="X27:Y27"/>
    <mergeCell ref="U36:AH36"/>
    <mergeCell ref="E36:Q36"/>
    <mergeCell ref="D55:F55"/>
    <mergeCell ref="D54:F54"/>
    <mergeCell ref="K59:N59"/>
    <mergeCell ref="K61:O61"/>
    <mergeCell ref="K11:U11"/>
    <mergeCell ref="D52:J52"/>
    <mergeCell ref="T42:AC42"/>
    <mergeCell ref="T44:AB44"/>
    <mergeCell ref="D46:F46"/>
    <mergeCell ref="T45:AA45"/>
    <mergeCell ref="T52:AC52"/>
    <mergeCell ref="D42:J42"/>
    <mergeCell ref="D44:J44"/>
    <mergeCell ref="K25:N25"/>
    <mergeCell ref="K27:N27"/>
    <mergeCell ref="K14:U14"/>
  </mergeCells>
  <conditionalFormatting sqref="AE46">
    <cfRule type="expression" dxfId="65" priority="5">
      <formula>AND($AD46="Please enter effluent concentration in cell to right:","1")</formula>
    </cfRule>
  </conditionalFormatting>
  <conditionalFormatting sqref="AE47">
    <cfRule type="expression" dxfId="64" priority="4">
      <formula>AND($AD46="Please enter effluent concentration in cell to right:","1")</formula>
    </cfRule>
  </conditionalFormatting>
  <conditionalFormatting sqref="L46">
    <cfRule type="expression" dxfId="63" priority="3">
      <formula>AND($L$46&lt;K46)</formula>
    </cfRule>
  </conditionalFormatting>
  <conditionalFormatting sqref="L54">
    <cfRule type="expression" dxfId="62" priority="2">
      <formula>AND($L$46&lt;K46)</formula>
    </cfRule>
  </conditionalFormatting>
  <conditionalFormatting sqref="V61">
    <cfRule type="expression" dxfId="61" priority="1">
      <formula>AND($L$46&lt;K46)</formula>
    </cfRule>
  </conditionalFormatting>
  <dataValidations count="3">
    <dataValidation type="list" allowBlank="1" showInputMessage="1" showErrorMessage="1" sqref="K44" xr:uid="{09BC1716-7948-4F98-8E3A-277F4E17751E}">
      <formula1>Wastewater</formula1>
    </dataValidation>
    <dataValidation type="list" allowBlank="1" showInputMessage="1" showErrorMessage="1" sqref="N34 AD34" xr:uid="{0E5A7B37-1AF1-47CC-AA54-9FF5CAEB322F}">
      <formula1>"Yes, No"</formula1>
    </dataValidation>
    <dataValidation type="list" allowBlank="1" showInputMessage="1" showErrorMessage="1" sqref="AD44" xr:uid="{8F47862D-8150-4E03-A11F-32470ADB32A1}">
      <formula1>OsTWs</formula1>
    </dataValidation>
  </dataValidations>
  <pageMargins left="0.70866141732283472" right="0.70866141732283472" top="0.74803149606299213" bottom="0.74803149606299213" header="0.31496062992125984" footer="0.31496062992125984"/>
  <pageSetup paperSize="9" scale="48" orientation="landscape" horizontalDpi="360" verticalDpi="360" r:id="rId1"/>
  <headerFooter>
    <oddHeader>&amp;LPhosphate Budget Calculator&amp;CStage 1</oddHeader>
    <oddFooter>&amp;LVersion 2.2&amp;R&amp;D</oddFooter>
  </headerFooter>
  <customProperties>
    <customPr name="SSC_SHEET_GUID" r:id="rId2"/>
  </customProperties>
  <webPublishItems count="1">
    <webPublishItem id="22879" divId="Norfolk budget Calc_V1.0_22879" sourceType="sheet" destinationFile="C:\Users\305327\Documents\Environmental Services proposals\Norfolk Nutrients Opportunity\Calculator\Norfolk budget Calc_V1.0 Items.htm" title="Norfolk Nutrient Calculator - items"/>
  </webPublishItem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BEF00-914D-4ADC-8F23-A385C2D4A9E5}">
  <sheetPr>
    <tabColor rgb="FFD6F4FE"/>
    <pageSetUpPr fitToPage="1"/>
  </sheetPr>
  <dimension ref="A1:BC50"/>
  <sheetViews>
    <sheetView zoomScaleNormal="100" workbookViewId="0">
      <selection activeCell="K13" sqref="K13"/>
    </sheetView>
  </sheetViews>
  <sheetFormatPr defaultRowHeight="12.75" x14ac:dyDescent="0.2"/>
  <cols>
    <col min="2" max="3" width="0.85546875" customWidth="1"/>
    <col min="4" max="4" width="2.28515625" customWidth="1"/>
    <col min="9" max="9" width="12.28515625" customWidth="1"/>
    <col min="10" max="10" width="8.42578125" customWidth="1"/>
    <col min="11" max="11" width="19.5703125" customWidth="1"/>
    <col min="12" max="12" width="11.140625" customWidth="1"/>
    <col min="13" max="13" width="3" customWidth="1"/>
    <col min="14" max="14" width="1.85546875" customWidth="1"/>
    <col min="15" max="15" width="8.42578125" customWidth="1"/>
    <col min="16" max="16" width="1.7109375" customWidth="1"/>
    <col min="17" max="17" width="9" customWidth="1"/>
    <col min="18" max="18" width="3.140625" customWidth="1"/>
    <col min="19" max="19" width="6.140625" customWidth="1"/>
    <col min="20" max="20" width="0.85546875" customWidth="1"/>
    <col min="22" max="22" width="16.85546875" customWidth="1"/>
    <col min="23" max="23" width="12.5703125" customWidth="1"/>
    <col min="28" max="28" width="11.140625" customWidth="1"/>
    <col min="29" max="29" width="12.140625" customWidth="1"/>
  </cols>
  <sheetData>
    <row r="1" spans="1:20" ht="13.5" thickBot="1" x14ac:dyDescent="0.25">
      <c r="A1" s="40" t="s">
        <v>16</v>
      </c>
    </row>
    <row r="2" spans="1:20" ht="3.6" customHeight="1" x14ac:dyDescent="0.2">
      <c r="B2" s="1"/>
      <c r="C2" s="2"/>
      <c r="D2" s="2"/>
      <c r="E2" s="2"/>
      <c r="F2" s="2"/>
      <c r="G2" s="2"/>
      <c r="H2" s="2"/>
      <c r="I2" s="2"/>
      <c r="J2" s="2"/>
      <c r="K2" s="2"/>
      <c r="L2" s="2"/>
      <c r="M2" s="2"/>
      <c r="N2" s="2"/>
      <c r="O2" s="2"/>
      <c r="P2" s="2"/>
      <c r="Q2" s="2"/>
      <c r="R2" s="2"/>
      <c r="S2" s="2"/>
      <c r="T2" s="3"/>
    </row>
    <row r="3" spans="1:20" ht="28.5" customHeight="1" x14ac:dyDescent="0.25">
      <c r="B3" s="4"/>
      <c r="C3" s="40"/>
      <c r="D3" s="278"/>
      <c r="E3" s="197" t="s">
        <v>16</v>
      </c>
      <c r="F3" s="433" t="s">
        <v>503</v>
      </c>
      <c r="G3" s="433"/>
      <c r="H3" s="433"/>
      <c r="I3" s="433"/>
      <c r="J3" s="433"/>
      <c r="K3" s="433"/>
      <c r="L3" s="433"/>
      <c r="M3" s="433"/>
      <c r="N3" s="234"/>
      <c r="O3" s="234"/>
      <c r="P3" s="234"/>
      <c r="Q3" s="234"/>
      <c r="R3" s="234"/>
      <c r="S3" s="234"/>
      <c r="T3" s="6"/>
    </row>
    <row r="4" spans="1:20" ht="1.5" customHeight="1" x14ac:dyDescent="0.25">
      <c r="B4" s="4"/>
      <c r="C4" s="54"/>
      <c r="D4" s="279"/>
      <c r="E4" s="428" t="s">
        <v>68</v>
      </c>
      <c r="F4" s="428"/>
      <c r="G4" s="428"/>
      <c r="H4" s="428"/>
      <c r="I4" s="428"/>
      <c r="J4" s="428"/>
      <c r="K4" s="428"/>
      <c r="L4" s="428"/>
      <c r="M4" s="428"/>
      <c r="N4" s="428"/>
      <c r="O4" s="428"/>
      <c r="P4" s="428"/>
      <c r="Q4" s="428"/>
      <c r="R4" s="428"/>
      <c r="S4" s="428"/>
      <c r="T4" s="6"/>
    </row>
    <row r="5" spans="1:20" ht="15.75" x14ac:dyDescent="0.25">
      <c r="B5" s="4"/>
      <c r="C5" s="54"/>
      <c r="D5" s="279"/>
      <c r="E5" s="428"/>
      <c r="F5" s="428"/>
      <c r="G5" s="428"/>
      <c r="H5" s="428"/>
      <c r="I5" s="428"/>
      <c r="J5" s="428"/>
      <c r="K5" s="428"/>
      <c r="L5" s="428"/>
      <c r="M5" s="428"/>
      <c r="N5" s="428"/>
      <c r="O5" s="428"/>
      <c r="P5" s="428"/>
      <c r="Q5" s="428"/>
      <c r="R5" s="428"/>
      <c r="S5" s="428"/>
      <c r="T5" s="6"/>
    </row>
    <row r="6" spans="1:20" ht="23.45" customHeight="1" x14ac:dyDescent="0.25">
      <c r="B6" s="4"/>
      <c r="C6" s="42"/>
      <c r="D6" s="227"/>
      <c r="E6" s="434"/>
      <c r="F6" s="434"/>
      <c r="G6" s="434"/>
      <c r="H6" s="434"/>
      <c r="I6" s="434"/>
      <c r="J6" s="434"/>
      <c r="K6" s="434"/>
      <c r="L6" s="434"/>
      <c r="M6" s="434"/>
      <c r="N6" s="434"/>
      <c r="O6" s="434"/>
      <c r="P6" s="434"/>
      <c r="Q6" s="434"/>
      <c r="R6" s="434"/>
      <c r="S6" s="434"/>
      <c r="T6" s="6"/>
    </row>
    <row r="7" spans="1:20" ht="3.95" customHeight="1" x14ac:dyDescent="0.25">
      <c r="B7" s="4"/>
      <c r="C7" s="42"/>
      <c r="D7" s="272"/>
      <c r="E7" s="280"/>
      <c r="F7" s="280"/>
      <c r="G7" s="280"/>
      <c r="H7" s="280"/>
      <c r="I7" s="280"/>
      <c r="J7" s="280"/>
      <c r="K7" s="280"/>
      <c r="L7" s="280"/>
      <c r="M7" s="280"/>
      <c r="N7" s="237"/>
      <c r="O7" s="237"/>
      <c r="P7" s="237"/>
      <c r="Q7" s="237"/>
      <c r="R7" s="237"/>
      <c r="S7" s="237"/>
      <c r="T7" s="6"/>
    </row>
    <row r="8" spans="1:20" ht="15.75" x14ac:dyDescent="0.25">
      <c r="B8" s="4"/>
      <c r="C8" s="42"/>
      <c r="D8" s="227"/>
      <c r="E8" s="48" t="s">
        <v>5</v>
      </c>
      <c r="F8" s="374" t="s">
        <v>18</v>
      </c>
      <c r="G8" s="374"/>
      <c r="H8" s="374"/>
      <c r="I8" s="374"/>
      <c r="J8" s="374"/>
      <c r="K8" s="144" t="s">
        <v>2</v>
      </c>
      <c r="L8" s="144" t="s">
        <v>3</v>
      </c>
      <c r="M8" s="49"/>
      <c r="N8" s="49"/>
      <c r="O8" s="49"/>
      <c r="P8" s="49"/>
      <c r="Q8" s="49"/>
      <c r="R8" s="49"/>
      <c r="S8" s="49"/>
      <c r="T8" s="6"/>
    </row>
    <row r="9" spans="1:20" ht="9.6" customHeight="1" x14ac:dyDescent="0.25">
      <c r="B9" s="4"/>
      <c r="C9" s="42"/>
      <c r="D9" s="227"/>
      <c r="E9" s="48"/>
      <c r="F9" s="142"/>
      <c r="G9" s="142"/>
      <c r="H9" s="142"/>
      <c r="I9" s="142"/>
      <c r="J9" s="142"/>
      <c r="K9" s="144"/>
      <c r="L9" s="144"/>
      <c r="M9" s="49"/>
      <c r="N9" s="49"/>
      <c r="O9" s="49"/>
      <c r="P9" s="49"/>
      <c r="Q9" s="49"/>
      <c r="R9" s="49"/>
      <c r="S9" s="49"/>
      <c r="T9" s="6"/>
    </row>
    <row r="10" spans="1:20" ht="32.450000000000003" customHeight="1" x14ac:dyDescent="0.25">
      <c r="B10" s="4"/>
      <c r="C10" s="42"/>
      <c r="D10" s="443" t="s">
        <v>595</v>
      </c>
      <c r="E10" s="443"/>
      <c r="F10" s="443"/>
      <c r="G10" s="443"/>
      <c r="H10" s="443"/>
      <c r="I10" s="443"/>
      <c r="J10" s="443"/>
      <c r="K10" s="443"/>
      <c r="L10" s="443"/>
      <c r="M10" s="443"/>
      <c r="N10" s="443"/>
      <c r="O10" s="443"/>
      <c r="P10" s="443"/>
      <c r="Q10" s="443"/>
      <c r="R10" s="443"/>
      <c r="S10" s="443"/>
      <c r="T10" s="6"/>
    </row>
    <row r="11" spans="1:20" ht="9.6" customHeight="1" x14ac:dyDescent="0.25">
      <c r="B11" s="4"/>
      <c r="C11" s="42"/>
      <c r="D11" s="227"/>
      <c r="E11" s="48"/>
      <c r="F11" s="142"/>
      <c r="G11" s="142"/>
      <c r="H11" s="142"/>
      <c r="I11" s="142"/>
      <c r="J11" s="142"/>
      <c r="K11" s="144"/>
      <c r="L11" s="144"/>
      <c r="M11" s="49"/>
      <c r="N11" s="49"/>
      <c r="O11" s="49"/>
      <c r="P11" s="49"/>
      <c r="Q11" s="49"/>
      <c r="R11" s="49"/>
      <c r="S11" s="49"/>
      <c r="T11" s="6"/>
    </row>
    <row r="12" spans="1:20" ht="15" customHeight="1" x14ac:dyDescent="0.25">
      <c r="B12" s="4"/>
      <c r="C12" s="42"/>
      <c r="D12" s="227"/>
      <c r="E12" s="48"/>
      <c r="F12" s="374" t="s">
        <v>380</v>
      </c>
      <c r="G12" s="374"/>
      <c r="H12" s="374"/>
      <c r="I12" s="374"/>
      <c r="J12" s="374"/>
      <c r="K12" s="238" t="s">
        <v>392</v>
      </c>
      <c r="L12" s="144"/>
      <c r="M12" s="49"/>
      <c r="N12" s="49"/>
      <c r="O12" s="49"/>
      <c r="P12" s="49"/>
      <c r="Q12" s="49"/>
      <c r="R12" s="49"/>
      <c r="S12" s="49"/>
      <c r="T12" s="6"/>
    </row>
    <row r="13" spans="1:20" ht="31.5" x14ac:dyDescent="0.25">
      <c r="B13" s="4"/>
      <c r="C13" s="42"/>
      <c r="D13" s="227"/>
      <c r="E13" s="48"/>
      <c r="F13" s="374" t="s">
        <v>379</v>
      </c>
      <c r="G13" s="374"/>
      <c r="H13" s="374"/>
      <c r="I13" s="374"/>
      <c r="J13" s="374"/>
      <c r="K13" s="257" t="s">
        <v>356</v>
      </c>
      <c r="L13" s="144"/>
      <c r="M13" s="49"/>
      <c r="N13" s="49"/>
      <c r="O13" s="49"/>
      <c r="P13" s="49"/>
      <c r="Q13" s="49"/>
      <c r="R13" s="49"/>
      <c r="S13" s="49"/>
      <c r="T13" s="6"/>
    </row>
    <row r="14" spans="1:20" ht="15.75" x14ac:dyDescent="0.25">
      <c r="B14" s="4"/>
      <c r="C14" s="42"/>
      <c r="D14" s="227"/>
      <c r="E14" s="48"/>
      <c r="F14" s="374" t="s">
        <v>383</v>
      </c>
      <c r="G14" s="374"/>
      <c r="H14" s="374"/>
      <c r="I14" s="374"/>
      <c r="J14" s="374"/>
      <c r="K14" s="238" t="s">
        <v>480</v>
      </c>
      <c r="L14" s="144" t="s">
        <v>382</v>
      </c>
      <c r="M14" s="49"/>
      <c r="N14" s="49"/>
      <c r="O14" s="49"/>
      <c r="P14" s="49"/>
      <c r="Q14" s="49"/>
      <c r="R14" s="49"/>
      <c r="S14" s="49"/>
      <c r="T14" s="6"/>
    </row>
    <row r="15" spans="1:20" ht="15.75" x14ac:dyDescent="0.25">
      <c r="B15" s="4"/>
      <c r="C15" s="42"/>
      <c r="D15" s="227"/>
      <c r="E15" s="48"/>
      <c r="F15" s="374" t="s">
        <v>381</v>
      </c>
      <c r="G15" s="374"/>
      <c r="H15" s="374"/>
      <c r="I15" s="374"/>
      <c r="J15" s="374"/>
      <c r="K15" s="238" t="s">
        <v>13</v>
      </c>
      <c r="L15" s="144"/>
      <c r="M15" s="49"/>
      <c r="N15" s="49"/>
      <c r="O15" s="49"/>
      <c r="P15" s="49"/>
      <c r="Q15" s="49"/>
      <c r="R15" s="49"/>
      <c r="S15" s="49"/>
      <c r="T15" s="6"/>
    </row>
    <row r="16" spans="1:20" ht="6.6" customHeight="1" x14ac:dyDescent="0.25">
      <c r="B16" s="4"/>
      <c r="C16" s="42"/>
      <c r="D16" s="227"/>
      <c r="E16" s="48"/>
      <c r="F16" s="49"/>
      <c r="G16" s="49"/>
      <c r="H16" s="49"/>
      <c r="I16" s="49"/>
      <c r="J16" s="49"/>
      <c r="K16" s="144"/>
      <c r="L16" s="144"/>
      <c r="M16" s="49"/>
      <c r="N16" s="49"/>
      <c r="O16" s="49"/>
      <c r="P16" s="49"/>
      <c r="Q16" s="49"/>
      <c r="R16" s="49"/>
      <c r="S16" s="49"/>
      <c r="T16" s="6"/>
    </row>
    <row r="17" spans="2:55" ht="15.95" customHeight="1" x14ac:dyDescent="0.25">
      <c r="B17" s="4"/>
      <c r="C17" s="42"/>
      <c r="D17" s="227"/>
      <c r="E17" s="440" t="s">
        <v>584</v>
      </c>
      <c r="F17" s="440"/>
      <c r="G17" s="440"/>
      <c r="H17" s="440"/>
      <c r="I17" s="440"/>
      <c r="J17" s="440"/>
      <c r="K17" s="440"/>
      <c r="L17" s="440"/>
      <c r="M17" s="440"/>
      <c r="N17" s="440"/>
      <c r="O17" s="440"/>
      <c r="P17" s="440"/>
      <c r="Q17" s="440"/>
      <c r="R17" s="440"/>
      <c r="S17" s="440"/>
      <c r="T17" s="6"/>
    </row>
    <row r="18" spans="2:55" ht="18.600000000000001" customHeight="1" x14ac:dyDescent="0.25">
      <c r="B18" s="4"/>
      <c r="C18" s="42"/>
      <c r="D18" s="227"/>
      <c r="E18" s="439" t="s">
        <v>585</v>
      </c>
      <c r="F18" s="439"/>
      <c r="G18" s="439"/>
      <c r="H18" s="439"/>
      <c r="I18" s="439"/>
      <c r="J18" s="439"/>
      <c r="K18" s="439"/>
      <c r="L18" s="439"/>
      <c r="M18" s="439"/>
      <c r="N18" s="439"/>
      <c r="O18" s="439"/>
      <c r="P18" s="439"/>
      <c r="Q18" s="439"/>
      <c r="R18" s="439"/>
      <c r="S18" s="439"/>
      <c r="T18" s="6"/>
    </row>
    <row r="19" spans="2:55" ht="18.600000000000001" customHeight="1" x14ac:dyDescent="0.25">
      <c r="B19" s="4"/>
      <c r="C19" s="42"/>
      <c r="D19" s="227"/>
      <c r="E19" s="439" t="s">
        <v>507</v>
      </c>
      <c r="F19" s="439"/>
      <c r="G19" s="439"/>
      <c r="H19" s="439"/>
      <c r="I19" s="439"/>
      <c r="J19" s="439"/>
      <c r="K19" s="439"/>
      <c r="L19" s="439"/>
      <c r="M19" s="439"/>
      <c r="N19" s="439"/>
      <c r="O19" s="439"/>
      <c r="P19" s="439"/>
      <c r="Q19" s="439"/>
      <c r="R19" s="439"/>
      <c r="S19" s="439"/>
      <c r="T19" s="6"/>
    </row>
    <row r="20" spans="2:55" ht="18.95" customHeight="1" x14ac:dyDescent="0.25">
      <c r="B20" s="4"/>
      <c r="C20" s="42"/>
      <c r="D20" s="227"/>
      <c r="E20" s="439" t="s">
        <v>596</v>
      </c>
      <c r="F20" s="439"/>
      <c r="G20" s="439"/>
      <c r="H20" s="439"/>
      <c r="I20" s="439"/>
      <c r="J20" s="439"/>
      <c r="K20" s="439"/>
      <c r="L20" s="439"/>
      <c r="M20" s="439"/>
      <c r="N20" s="439"/>
      <c r="O20" s="439"/>
      <c r="P20" s="439"/>
      <c r="Q20" s="439"/>
      <c r="R20" s="439"/>
      <c r="S20" s="439"/>
      <c r="T20" s="6"/>
    </row>
    <row r="21" spans="2:55" ht="41.1" customHeight="1" x14ac:dyDescent="0.25">
      <c r="B21" s="4"/>
      <c r="C21" s="42"/>
      <c r="D21" s="227"/>
      <c r="E21" s="48" t="s">
        <v>8</v>
      </c>
      <c r="F21" s="49" t="s">
        <v>597</v>
      </c>
      <c r="G21" s="49"/>
      <c r="H21" s="49"/>
      <c r="I21" s="49"/>
      <c r="J21" s="49"/>
      <c r="K21" s="144"/>
      <c r="L21" s="144"/>
      <c r="M21" s="49"/>
      <c r="N21" s="49"/>
      <c r="O21" s="281" t="s">
        <v>396</v>
      </c>
      <c r="P21" s="281"/>
      <c r="Q21" s="281" t="s">
        <v>397</v>
      </c>
      <c r="R21" s="49"/>
      <c r="S21" s="49"/>
      <c r="T21" s="6"/>
    </row>
    <row r="22" spans="2:55" ht="14.45" customHeight="1" x14ac:dyDescent="0.25">
      <c r="B22" s="4"/>
      <c r="C22" s="42"/>
      <c r="D22" s="227"/>
      <c r="E22" s="49"/>
      <c r="F22" s="374" t="str">
        <f>'Data Tables'!AC37</f>
        <v>High density residential</v>
      </c>
      <c r="G22" s="374"/>
      <c r="H22" s="374"/>
      <c r="I22" s="374"/>
      <c r="J22" s="374"/>
      <c r="K22" s="282"/>
      <c r="L22" s="240" t="s">
        <v>17</v>
      </c>
      <c r="M22" s="49"/>
      <c r="N22" s="49"/>
      <c r="O22" s="283">
        <f>$K22*IF($K$14="550-575",'Data Tables'!AC39,IF($K$14="575-600",'Data Tables'!AC40,IF($K$14="600-625",'Data Tables'!AC41,IF($K$14="625-650",'Data Tables'!AC42,IF($K$14="650-675",'Data Tables'!AC43,IF($K$14="675-700",'Data Tables'!AC44,IF($K$14="700-750",'Data Tables'!AC45,IF($K$14="750-800",'Data Tables'!AC46,IF($K$14="800-850",'Data Tables'!AC47,'Data Tables'!AC48)))))))))</f>
        <v>0</v>
      </c>
      <c r="P22" s="284"/>
      <c r="Q22" s="285">
        <f>$K22*IF($K$14="550-575",'Data Tables'!AD39,IF($K$14="575-600",'Data Tables'!AD40,IF($K$14="600-625",'Data Tables'!AD41,IF($K$14="625-650",'Data Tables'!AD42,IF($K$14="650-675",'Data Tables'!AD43,IF($K$14="675-700",'Data Tables'!AD44,IF($K$14="700-750",'Data Tables'!AD45,IF($K$14="750-800",'Data Tables'!AD46,IF($K$14="800-850",'Data Tables'!AD47,'Data Tables'!AD48)))))))))</f>
        <v>0</v>
      </c>
      <c r="R22" s="286"/>
      <c r="S22" s="49" t="s">
        <v>398</v>
      </c>
      <c r="T22" s="6"/>
      <c r="W22" s="74"/>
      <c r="X22" s="74"/>
      <c r="Y22" s="74"/>
      <c r="Z22" s="74"/>
      <c r="AA22" s="74"/>
      <c r="AB22" s="74"/>
      <c r="AC22" s="441"/>
      <c r="AD22" s="441"/>
      <c r="AE22" s="441"/>
      <c r="AF22" s="441"/>
      <c r="AG22" s="441"/>
      <c r="AH22" s="441"/>
    </row>
    <row r="23" spans="2:55" ht="14.45" customHeight="1" x14ac:dyDescent="0.25">
      <c r="B23" s="4"/>
      <c r="C23" s="42"/>
      <c r="D23" s="227"/>
      <c r="E23" s="49"/>
      <c r="F23" s="374" t="str">
        <f>'Data Tables'!AE37</f>
        <v>Medium density residential</v>
      </c>
      <c r="G23" s="374"/>
      <c r="H23" s="374"/>
      <c r="I23" s="374"/>
      <c r="J23" s="374"/>
      <c r="K23" s="282"/>
      <c r="L23" s="240" t="s">
        <v>17</v>
      </c>
      <c r="M23" s="49"/>
      <c r="N23" s="49"/>
      <c r="O23" s="283">
        <f>$K23*IF($K$14="550-575",'Data Tables'!AE39,IF($K$14="575-600",'Data Tables'!AE40,IF($K$14="600-625",'Data Tables'!AE41,IF($K$14="625-650",'Data Tables'!AE42,IF($K$14="650-675",'Data Tables'!AE43,IF($K$14="675-700",'Data Tables'!AE44,IF($K$14="700-750",'Data Tables'!AE45,IF($K$14="750-800",'Data Tables'!AE46,IF($K$14="800-850",'Data Tables'!AE47,'Data Tables'!AE48)))))))))</f>
        <v>0</v>
      </c>
      <c r="P23" s="284"/>
      <c r="Q23" s="285">
        <f>$K23*IF($K$14="550-575",'Data Tables'!AF39,IF($K$14="575-600",'Data Tables'!AF40,IF($K$14="600-625",'Data Tables'!AF41,IF($K$14="625-650",'Data Tables'!AF42,IF($K$14="650-675",'Data Tables'!AF43,IF($K$14="675-700",'Data Tables'!AF44,IF($K$14="700-750",'Data Tables'!AF45,IF($K$14="750-800",'Data Tables'!AF46,IF($K$14="800-850",'Data Tables'!AF47,'Data Tables'!AF48)))))))))</f>
        <v>0</v>
      </c>
      <c r="R23" s="286"/>
      <c r="S23" s="49" t="s">
        <v>398</v>
      </c>
      <c r="T23" s="6"/>
      <c r="W23" s="73"/>
      <c r="X23" s="73"/>
      <c r="Y23" s="73"/>
      <c r="Z23" s="73"/>
      <c r="AA23" s="73"/>
      <c r="AB23" s="73"/>
      <c r="AC23" s="442"/>
      <c r="AD23" s="442"/>
      <c r="AE23" s="442"/>
      <c r="AF23" s="442"/>
      <c r="AG23" s="442"/>
      <c r="AH23" s="442"/>
    </row>
    <row r="24" spans="2:55" ht="14.45" customHeight="1" x14ac:dyDescent="0.25">
      <c r="B24" s="4"/>
      <c r="C24" s="42"/>
      <c r="D24" s="227"/>
      <c r="E24" s="49"/>
      <c r="F24" s="374" t="str">
        <f>'Data Tables'!AG37</f>
        <v>Low density residential</v>
      </c>
      <c r="G24" s="374"/>
      <c r="H24" s="374"/>
      <c r="I24" s="374"/>
      <c r="J24" s="374"/>
      <c r="K24" s="282"/>
      <c r="L24" s="240" t="s">
        <v>17</v>
      </c>
      <c r="M24" s="49"/>
      <c r="N24" s="49"/>
      <c r="O24" s="283">
        <f>$K24*IF($K$14="550-575",'Data Tables'!AG39,IF($K$14="575-600",'Data Tables'!AG40,IF($K$14="600-625",'Data Tables'!AG41,IF($K$14="625-650",'Data Tables'!AG42,IF($K$14="650-675",'Data Tables'!AG43,IF($K$14="675-700",'Data Tables'!AG44,IF($K$14="700-750",'Data Tables'!AG45,IF($K$14="750-800",'Data Tables'!AG46,IF($K$14="800-850",'Data Tables'!AG47,'Data Tables'!AG48)))))))))</f>
        <v>0</v>
      </c>
      <c r="P24" s="284"/>
      <c r="Q24" s="285">
        <f>$K24*IF($K$14="550-575",'Data Tables'!AH39,IF($K$14="575-600",'Data Tables'!AH40,IF($K$14="600-625",'Data Tables'!AH41,IF($K$14="625-650",'Data Tables'!AH42,IF($K$14="650-675",'Data Tables'!AH43,IF($K$14="675-700",'Data Tables'!AH44,IF($K$14="700-750",'Data Tables'!AH45,IF($K$14="750-800",'Data Tables'!AH46,IF($K$14="800-850",'Data Tables'!AH47,'Data Tables'!AH48)))))))))</f>
        <v>0</v>
      </c>
      <c r="R24" s="286"/>
      <c r="S24" s="49" t="s">
        <v>398</v>
      </c>
      <c r="T24" s="6"/>
      <c r="W24" s="13"/>
      <c r="X24" s="13"/>
      <c r="Y24" s="13"/>
      <c r="Z24" s="13"/>
      <c r="AA24" s="13"/>
      <c r="AB24" s="13"/>
      <c r="AC24" s="13"/>
      <c r="AD24" s="13"/>
      <c r="AE24" s="13"/>
      <c r="AF24" s="13"/>
      <c r="AG24" s="13"/>
      <c r="AH24" s="13"/>
    </row>
    <row r="25" spans="2:55" ht="14.45" customHeight="1" x14ac:dyDescent="0.25">
      <c r="B25" s="4"/>
      <c r="C25" s="42"/>
      <c r="D25" s="227"/>
      <c r="E25" s="49"/>
      <c r="F25" s="374" t="str">
        <f>'Data Tables'!AI37</f>
        <v>Commercial / Industrial</v>
      </c>
      <c r="G25" s="374"/>
      <c r="H25" s="374"/>
      <c r="I25" s="374"/>
      <c r="J25" s="374"/>
      <c r="K25" s="282">
        <v>4.6500000000000004</v>
      </c>
      <c r="L25" s="240" t="s">
        <v>17</v>
      </c>
      <c r="M25" s="49"/>
      <c r="N25" s="49"/>
      <c r="O25" s="283">
        <f>$K25*IF($K$14="550-575",'Data Tables'!AI39,IF($K$14="575-600",'Data Tables'!AI40,IF($K$14="600-625",'Data Tables'!AI41,IF($K$14="625-650",'Data Tables'!AI42,IF($K$14="650-675",'Data Tables'!AI43,IF($K$14="675-700",'Data Tables'!AI44,IF($K$14="700-750",'Data Tables'!AI45,IF($K$14="750-800",'Data Tables'!AI46,IF($K$14="800-850",'Data Tables'!AI47,'Data Tables'!AI48)))))))))</f>
        <v>4.7974221873437868</v>
      </c>
      <c r="P25" s="284"/>
      <c r="Q25" s="285">
        <f>$K25*IF($K$14="550-575",'Data Tables'!AJ39,IF($K$14="575-600",'Data Tables'!AJ40,IF($K$14="600-625",'Data Tables'!AJ41,IF($K$14="625-650",'Data Tables'!AJ42,IF($K$14="650-675",'Data Tables'!AJ43,IF($K$14="675-700",'Data Tables'!AJ44,IF($K$14="700-750",'Data Tables'!AJ45,IF($K$14="750-800",'Data Tables'!AJ46,IF($K$14="800-850",'Data Tables'!AJ47,'Data Tables'!AJ48)))))))))</f>
        <v>30.518342152301855</v>
      </c>
      <c r="R25" s="286"/>
      <c r="S25" s="49" t="s">
        <v>398</v>
      </c>
      <c r="T25" s="6"/>
      <c r="W25" s="13"/>
      <c r="X25" s="13"/>
      <c r="Y25" s="13"/>
      <c r="Z25" s="13"/>
      <c r="AA25" s="13"/>
      <c r="AB25" s="13"/>
      <c r="AC25" s="13"/>
      <c r="AD25" s="13"/>
      <c r="AE25" s="13"/>
      <c r="AF25" s="13"/>
      <c r="AG25" s="13"/>
      <c r="AH25" s="13"/>
    </row>
    <row r="26" spans="2:55" ht="14.45" customHeight="1" x14ac:dyDescent="0.25">
      <c r="B26" s="4"/>
      <c r="C26" s="42"/>
      <c r="D26" s="227"/>
      <c r="E26" s="49"/>
      <c r="F26" s="374" t="str">
        <f>'Data Tables'!AK37</f>
        <v>Urban open space</v>
      </c>
      <c r="G26" s="374"/>
      <c r="H26" s="374"/>
      <c r="I26" s="374"/>
      <c r="J26" s="374"/>
      <c r="K26" s="282"/>
      <c r="L26" s="240" t="s">
        <v>17</v>
      </c>
      <c r="M26" s="49"/>
      <c r="N26" s="49"/>
      <c r="O26" s="283">
        <f>$K26*IF($K$14="550-575",'Data Tables'!AK39,IF($K$14="575-600",'Data Tables'!AK40,IF($K$14="600-625",'Data Tables'!AK41,IF($K$14="625-650",'Data Tables'!AK42,IF($K$14="650-675",'Data Tables'!AK43,IF($K$14="675-700",'Data Tables'!AK44,IF($K$14="700-750",'Data Tables'!AK45,IF($K$14="750-800",'Data Tables'!AK46,IF($K$14="800-850",'Data Tables'!AK47,'Data Tables'!AK48)))))))))</f>
        <v>0</v>
      </c>
      <c r="P26" s="284"/>
      <c r="Q26" s="285">
        <f>$K26*IF($K$14="550-575",'Data Tables'!AL39,IF($K$14="575-600",'Data Tables'!AL40,IF($K$14="600-625",'Data Tables'!AL41,IF($K$14="625-650",'Data Tables'!AL42,IF($K$14="650-675",'Data Tables'!AL43,IF($K$14="675-700",'Data Tables'!AL44,IF($K$14="700-750",'Data Tables'!AL45,IF($K$14="750-800",'Data Tables'!AL46,IF($K$14="800-850",'Data Tables'!AL47,'Data Tables'!AL48)))))))))</f>
        <v>0</v>
      </c>
      <c r="R26" s="286"/>
      <c r="S26" s="49" t="s">
        <v>398</v>
      </c>
      <c r="T26" s="6"/>
      <c r="W26" s="13"/>
      <c r="X26" s="13"/>
      <c r="Y26" s="13"/>
      <c r="Z26" s="13"/>
      <c r="AA26" s="13"/>
      <c r="AB26" s="13"/>
      <c r="AC26" s="13"/>
      <c r="AD26" s="13"/>
      <c r="AE26" s="13"/>
      <c r="AF26" s="13"/>
      <c r="AG26" s="13"/>
      <c r="AH26" s="13"/>
    </row>
    <row r="27" spans="2:55" ht="14.45" customHeight="1" x14ac:dyDescent="0.25">
      <c r="B27" s="4"/>
      <c r="C27" s="42"/>
      <c r="D27" s="227"/>
      <c r="E27" s="49"/>
      <c r="F27" s="374" t="s">
        <v>23</v>
      </c>
      <c r="G27" s="374"/>
      <c r="H27" s="374"/>
      <c r="I27" s="374"/>
      <c r="J27" s="374"/>
      <c r="K27" s="282"/>
      <c r="L27" s="240" t="s">
        <v>17</v>
      </c>
      <c r="M27" s="49"/>
      <c r="N27" s="49"/>
      <c r="O27" s="287">
        <f>IF($K$12="Wensum",($K27*(IF($K$13="Freely draining",IF($K$14="550-575",IF($K$15="Yes",'Data Tables'!S5,'Data Tables'!T5),IF($K$14="575-600",IF($K$15="Yes",'Data Tables'!S5,'Data Tables'!T5),IF($K$14="600-625",IF($K$15="Yes",'Data Tables'!Y5,'Data Tables'!Z5),IF($K$14="625-650",IF($K$15="Yes",'Data Tables'!Y5,'Data Tables'!Z5),IF($K$14="650-675",IF($K$15="Yes",'Data Tables'!Y5,'Data Tables'!Z5),IF($K$14="675-700",IF($K$15="Yes",'Data Tables'!Y5,'Data Tables'!Z5),IF($K$14="700-750",IF($K$15="Yes",'Data Tables'!AE5,'Data Tables'!AF5),IF($K$14="750-800",IF($K$15="Yes",'Data Tables'!AE5,'Data Tables'!AF5),IF($K$14="800-850",IF($K$15="Yes",'Data Tables'!AE5,'Data Tables'!AF5),IF($K$15="Yes",'Data Tables'!Y5,'Data Tables'!Z5)))))))))),IF($K$13="Impermeable - drained for arable",IF($K$14="550-575",IF($K$15="Yes",'Data Tables'!U5,'Data Tables'!V5),IF($K$14="575-600",IF($K$15="Yes",'Data Tables'!U5,'Data Tables'!V5),IF($K$14="600-625",IF($K$15="Yes",'Data Tables'!AA5,'Data Tables'!AB5),IF($K$14="625-650",IF($K$15="Yes",'Data Tables'!AA5,'Data Tables'!AB5),IF($K$14="650-675",IF($K$15="Yes",'Data Tables'!AA5,'Data Tables'!AB5),IF($K$14="675-700",IF($K$15="Yes",'Data Tables'!AA5,'Data Tables'!AB5),IF($K$14="700-750",IF($K$15="Yes",'Data Tables'!AG5,'Data Tables'!AH5),IF($K$14="750-800",IF($K$15="Yes",'Data Tables'!AG5,'Data Tables'!AH5),IF($K$14="800-850",IF($K$15="Yes",'Data Tables'!AG5,'Data Tables'!AH5),IF($K$15="Yes",'Data Tables'!AG5,'Data Tables'!AH5)))))))))),IF($K$14="550-575",IF($K$15="Yes",'Data Tables'!W5,'Data Tables'!X5),IF($K$14="575-600",IF($K$15="Yes",'Data Tables'!W5,'Data Tables'!X5),IF($K$14="600-625",IF($K$15="Yes",'Data Tables'!AC5,'Data Tables'!AD5),IF($K$14="625-650",IF($K$15="Yes",'Data Tables'!AC5,'Data Tables'!AD5),IF($K$14="650-675",IF($K$15="Yes",'Data Tables'!AC5,'Data Tables'!AD5),IF($K$14="675-700",IF($K$15="Yes",'Data Tables'!AC5,'Data Tables'!AD5),IF($K$14="700-750",IF($K$15="Yes",'Data Tables'!AI5,'Data Tables'!AJ5),IF($K$14="750-800",IF($K$15="Yes",'Data Tables'!AI5,'Data Tables'!AJ5),IF($K$14="800-850",IF($K$15="Yes",'Data Tables'!AI5,'Data Tables'!AJ5),IF($K$15="Yes",'Data Tables'!AI5,'Data Tables'!AJ5)))))))))))))),IF($K$12="Yare",($K27*(IF($K$13="Freely draining",IF($K$14="550-575",IF($K$15="Yes",'Data Tables'!S16,'Data Tables'!T16),IF($K$14="575-600",IF($K$15="Yes",'Data Tables'!S16,'Data Tables'!T16),IF($K$14="600-625",IF($K$15="Yes",'Data Tables'!Y16,'Data Tables'!Z16),IF($K$14="625-650",IF($K$15="Yes",'Data Tables'!Y16,'Data Tables'!Z16),IF($K$14="650-675",IF($K$15="Yes",'Data Tables'!Y16,'Data Tables'!Z16),IF($K$14="675-700",IF($K$15="Yes",'Data Tables'!Y16,'Data Tables'!Z16),IF($K$14="700-750",IF($K$15="Yes",'Data Tables'!AE16,'Data Tables'!AF16),IF($K$14="750-800",IF($K$15="Yes",'Data Tables'!AE16,'Data Tables'!AF16),IF($K$14="800-850",IF($K$15="Yes",'Data Tables'!AE16,'Data Tables'!AF16),IF($K$15="Yes",'Data Tables'!AE16,'Data Tables'!AF16)))))))))),IF($K$13="Impermeable - drained for arable",IF($K$14="550-575",IF($K$15="Yes",'Data Tables'!U16,'Data Tables'!V16),IF($K$14="575-600",IF($K$15="Yes",'Data Tables'!U16,'Data Tables'!V16),IF($K$14="600-625",IF($K$15="Yes",'Data Tables'!AA16,'Data Tables'!AB16),IF($K$14="625-650",IF($K$15="Yes",'Data Tables'!AA16,'Data Tables'!AB16),IF($K$14="650-675",IF($K$15="Yes",'Data Tables'!AA16,'Data Tables'!AB16),IF($K$14="675-700",IF($K$15="Yes",'Data Tables'!AA16,'Data Tables'!AB16),IF($K$14="700-750",IF($K$15="Yes",'Data Tables'!AG16,'Data Tables'!AH16),IF($K$14="750-800",IF($K$15="Yes",'Data Tables'!AG16,'Data Tables'!AH16),IF($K$14="800-850",IF($K$15="Yes",'Data Tables'!AG16,'Data Tables'!AH16),IF($K$15="Yes",'Data Tables'!AG16,'Data Tables'!AH16)))))))))),IF($K$14="550-575",IF($K$15="Yes",'Data Tables'!W16,'Data Tables'!X16),IF($K$14="575-600",IF($K$15="Yes",'Data Tables'!W16,'Data Tables'!X16),IF($K$14="600-625",IF($K$15="Yes",'Data Tables'!AC16,'Data Tables'!AD16),IF($K$14="625-650",IF($K$15="Yes",'Data Tables'!AC16,'Data Tables'!AD16),IF($K$14="650-675",IF($K$15="Yes",'Data Tables'!AC16,'Data Tables'!AD16),IF($K$14="675-700",IF($K$15="Yes",'Data Tables'!AC16,'Data Tables'!AD16),IF($K$14="700-750",IF($K$15="Yes",'Data Tables'!AI16,'Data Tables'!AJ16),IF($K$14="750-800",IF($K$15="Yes",'Data Tables'!AI16,'Data Tables'!AJ16),IF($K$14="800-850",IF($K$15="Yes",'Data Tables'!AI16,'Data Tables'!AJ16),IF($K$15="Yes",'Data Tables'!AI16,'Data Tables'!AJ16)))))))))))))),($K27*(IF($K$13="Freely draining",IF($K$14="550-575",IF($K$15="Yes",'Data Tables'!S27,'Data Tables'!T27),IF($K$14="575-600",IF($K$15="Yes",'Data Tables'!S27,'Data Tables'!T27),IF($K$14="600-625",IF($K$15="Yes",'Data Tables'!Y27,'Data Tables'!Z27),IF($K$14="625-650",IF($K$15="Yes",'Data Tables'!Y27,'Data Tables'!Z27),IF($K$14="650-675",IF($K$15="Yes",'Data Tables'!Y27,'Data Tables'!Z27),IF($K$14="675-700",IF($K$15="Yes",'Data Tables'!Y27,'Data Tables'!Z27),IF($K$14="700-750",IF($K$15="Yes",'Data Tables'!AE27,'Data Tables'!AF27),IF($K$14="750-800",IF($K$15="Yes",'Data Tables'!AE27,'Data Tables'!AF27),IF($K$14="800-850",IF($K$15="Yes",'Data Tables'!AE27,'Data Tables'!AF27),IF($K$15="Yes",'Data Tables'!AE27,'Data Tables'!AF27)))))))))),IF($K$13="Impermeable - drained for arable",IF($K$14="550-575",IF($K$15="Yes",'Data Tables'!U27,'Data Tables'!V27),IF($K$14="575-600",IF($K$15="Yes",'Data Tables'!U27,'Data Tables'!V27),IF($K$14="600-625",IF($K$15="Yes",'Data Tables'!AA27,'Data Tables'!AB27),IF($K$14="625-650",IF($K$15="Yes",'Data Tables'!AA27,'Data Tables'!AB27),IF($K$14="650-675",IF($K$15="Yes",'Data Tables'!AA27,'Data Tables'!AB27),IF($K$14="675-700",IF($K$15="Yes",'Data Tables'!AA27,'Data Tables'!AB27),IF($K$14="700-750",IF($K$15="Yes",'Data Tables'!AG27,'Data Tables'!AH27),IF($K$14="750-800",IF($K$15="Yes",'Data Tables'!AG27,'Data Tables'!AH27),IF($K$14="800-850",IF($K$15="Yes",'Data Tables'!AG27,'Data Tables'!AH27),IF($K$15="Yes",'Data Tables'!AG27,'Data Tables'!AH27)))))))))),IF($K$14="550-575",IF($K$15="Yes",'Data Tables'!W27,'Data Tables'!X27),IF($K$14="575-600",IF($K$15="Yes",'Data Tables'!W27,'Data Tables'!X27),IF($K$14="600-625",IF($K$15="Yes",'Data Tables'!AC27,'Data Tables'!AD27),IF($K$14="625-650",IF($K$15="Yes",'Data Tables'!AC27,'Data Tables'!AD27),IF($K$14="650-675",IF($K$15="Yes",'Data Tables'!AC27,'Data Tables'!AD27),IF($K$14="675-700",IF($K$15="Yes",'Data Tables'!AC27,'Data Tables'!AD27),IF($K$14="700-750",IF($K$15="Yes",'Data Tables'!AI27,'Data Tables'!AJ27),IF($K$14="750-800",IF($K$15="Yes",'Data Tables'!AI27,'Data Tables'!AJ27),IF($K$14="800-850",IF($K$15="Yes",'Data Tables'!AI27,'Data Tables'!AJ27),IF($K$15="Yes",'Data Tables'!AI27,'Data Tables'!AJ27))))))))))))))))</f>
        <v>0</v>
      </c>
      <c r="P27" s="284"/>
      <c r="Q27" s="287">
        <f>IF($K$12="Wensum",($K27*(IF($K$13="Freely draining",IF($K$14="550-575",IF($K$15="Yes",'Data Tables'!AM5,'Data Tables'!AN5),IF($K$14="575-600",IF($K$15="Yes",'Data Tables'!AM5,'Data Tables'!AN5),IF($K$14="600-625",IF($K$15="Yes",'Data Tables'!AS5,'Data Tables'!AT5),IF($K$14="625-650",IF($K$15="Yes",'Data Tables'!AS5,'Data Tables'!AT5),IF($K$14="650-675",IF($K$15="Yes",'Data Tables'!AS5,'Data Tables'!AT5),IF($K$14="675-700",IF($K$15="Yes",'Data Tables'!AS5,'Data Tables'!AT5),IF($K$14="700-750",IF($K$15="Yes",'Data Tables'!AY5,'Data Tables'!AZ5),IF($K$14="750-800",IF($K$15="Yes",'Data Tables'!AY5,'Data Tables'!AZ5),IF($K$14="800-850",IF($K$15="Yes",'Data Tables'!AY5,'Data Tables'!AZ5),IF($K$15="Yes",'Data Tables'!AS5,'Data Tables'!AT5)))))))))),IF($K$13="Impermeable - drained for arable",IF($K$14="550-575",IF($K$15="Yes",'Data Tables'!AO5,'Data Tables'!AP5),IF($K$14="575-600",IF($K$15="Yes",'Data Tables'!AO5,'Data Tables'!AP5),IF($K$14="600-625",IF($K$15="Yes",'Data Tables'!AU5,'Data Tables'!AV5),IF($K$14="625-650",IF($K$15="Yes",'Data Tables'!AU5,'Data Tables'!AV5),IF($K$14="650-675",IF($K$15="Yes",'Data Tables'!AU5,'Data Tables'!AV5),IF($K$14="675-700",IF($K$15="Yes",'Data Tables'!AU5,'Data Tables'!AV5),IF($K$14="700-750",IF($K$15="Yes",'Data Tables'!BA5,'Data Tables'!BB5),IF($K$14="750-800",IF($K$15="Yes",'Data Tables'!BA5,'Data Tables'!BB5),IF($K$14="800-850",IF($K$15="Yes",'Data Tables'!BA5,'Data Tables'!BB5),IF($K$15="Yes",'Data Tables'!BA5,'Data Tables'!BB5)))))))))),IF($K$14="550-575",IF($K$15="Yes",'Data Tables'!AQ5,'Data Tables'!AR5),IF($K$14="575-600",IF($K$15="Yes",'Data Tables'!AQ5,'Data Tables'!AR5),IF($K$14="600-625",IF($K$15="Yes",'Data Tables'!AW5,'Data Tables'!AX5),IF($K$14="625-650",IF($K$15="Yes",'Data Tables'!AW5,'Data Tables'!AX5),IF($K$14="650-675",IF($K$15="Yes",'Data Tables'!AW5,'Data Tables'!AX5),IF($K$14="675-700",IF($K$15="Yes",'Data Tables'!AW5,'Data Tables'!AX5),IF($K$14="700-750",IF($K$15="Yes",'Data Tables'!BC5,'Data Tables'!BD5),IF($K$14="750-800",IF($K$15="Yes",'Data Tables'!BC5,'Data Tables'!BD5),IF($K$14="800-850",IF($K$15="Yes",'Data Tables'!BC5,'Data Tables'!BD5),IF($K$15="Yes",'Data Tables'!BC5,'Data Tables'!BD5)))))))))))))),IF($K$12="Yare",($K27*(IF($K$13="Freely draining",IF($K$14="550-575",IF($K$15="Yes",'Data Tables'!AM16,'Data Tables'!AN16),IF($K$14="575-600",IF($K$15="Yes",'Data Tables'!AM16,'Data Tables'!AN16),IF($K$14="600-625",IF($K$15="Yes",'Data Tables'!AS16,'Data Tables'!AT16),IF($K$14="625-650",IF($K$15="Yes",'Data Tables'!AS16,'Data Tables'!AT16),IF($K$14="650-675",IF($K$15="Yes",'Data Tables'!AS16,'Data Tables'!AT16),IF($K$14="675-700",IF($K$15="Yes",'Data Tables'!AS16,'Data Tables'!AT16),IF($K$14="700-750",IF($K$15="Yes",'Data Tables'!AY16,'Data Tables'!AZ16),IF($K$14="750-800",IF($K$15="Yes",'Data Tables'!AY16,'Data Tables'!AZ16),IF($K$14="800-850",IF($K$15="Yes",'Data Tables'!AY16,'Data Tables'!AZ16),IF($K$15="Yes",'Data Tables'!AY16,'Data Tables'!AZ16)))))))))),IF($K$13="Impermeable - drained for arable",IF($K$14="550-575",IF($K$15="Yes",'Data Tables'!AO16,'Data Tables'!AP16),IF($K$14="575-600",IF($K$15="Yes",'Data Tables'!AO16,'Data Tables'!AP16),IF($K$14="600-625",IF($K$15="Yes",'Data Tables'!AU16,'Data Tables'!AV16),IF($K$14="625-650",IF($K$15="Yes",'Data Tables'!AU16,'Data Tables'!AV16),IF($K$14="650-675",IF($K$15="Yes",'Data Tables'!AU16,'Data Tables'!AV16),IF($K$14="675-700",IF($K$15="Yes",'Data Tables'!AU16,'Data Tables'!AV16),IF($K$14="700-750",IF($K$15="Yes",'Data Tables'!BA16,'Data Tables'!BB16),IF($K$14="750-800",IF($K$15="Yes",'Data Tables'!BA16,'Data Tables'!BB16),IF($K$14="800-850",IF($K$15="Yes",'Data Tables'!BA16,'Data Tables'!BB16),IF($K$15="Yes",'Data Tables'!BA16,'Data Tables'!BB16)))))))))),IF($K$14="550-575",IF($K$15="Yes",'Data Tables'!AQ16,'Data Tables'!AR16),IF($K$14="575-600",IF($K$15="Yes",'Data Tables'!AQ16,'Data Tables'!AR16),IF($K$14="600-625",IF($K$15="Yes",'Data Tables'!AW16,'Data Tables'!AX16),IF($K$14="625-650",IF($K$15="Yes",'Data Tables'!AW16,'Data Tables'!AX16),IF($K$14="650-675",IF($K$15="Yes",'Data Tables'!AW16,'Data Tables'!AX16),IF($K$14="675-700",IF($K$15="Yes",'Data Tables'!AW16,'Data Tables'!AX16),IF($K$14="700-750",IF($K$15="Yes",'Data Tables'!BC16,'Data Tables'!BD16),IF($K$14="750-800",IF($K$15="Yes",'Data Tables'!BC16,'Data Tables'!BD16),IF($K$14="800-850",IF($K$15="Yes",'Data Tables'!BC16,'Data Tables'!BD16),IF($K$15="Yes",'Data Tables'!BC16,'Data Tables'!BD16)))))))))))))),($K27*(IF($K$13="Freely draining",IF($K$14="550-575",IF($K$15="Yes",'Data Tables'!AM27,'Data Tables'!AN27),IF($K$14="575-600",IF($K$15="Yes",'Data Tables'!AM27,'Data Tables'!AN27),IF($K$14="600-625",IF($K$15="Yes",'Data Tables'!AS27,'Data Tables'!AT27),IF($K$14="625-650",IF($K$15="Yes",'Data Tables'!AS27,'Data Tables'!AT27),IF($K$14="650-675",IF($K$15="Yes",'Data Tables'!AS27,'Data Tables'!AT27),IF($K$14="675-700",IF($K$15="Yes",'Data Tables'!AS27,'Data Tables'!AT27),IF($K$14="700-750",IF($K$15="Yes",'Data Tables'!AY27,'Data Tables'!AZ27),IF($K$14="750-800",IF($K$15="Yes",'Data Tables'!AY27,'Data Tables'!AZ27),IF($K$14="800-850",IF($K$15="Yes",'Data Tables'!AY27,'Data Tables'!AZ27),IF($K$15="Yes",'Data Tables'!AY27,'Data Tables'!AZ27)))))))))),IF($K$13="Impermeable - drained for arable",IF($K$14="550-575",IF($K$15="Yes",'Data Tables'!AO27,'Data Tables'!AP27),IF($K$14="575-600",IF($K$15="Yes",'Data Tables'!AO27,'Data Tables'!AP27),IF($K$14="600-625",IF($K$15="Yes",'Data Tables'!AU27,'Data Tables'!AV27),IF($K$14="625-650",IF($K$15="Yes",'Data Tables'!AU27,'Data Tables'!AV27),IF($K$14="650-675",IF($K$15="Yes",'Data Tables'!AU27,'Data Tables'!AV27),IF($K$14="675-700",IF($K$15="Yes",'Data Tables'!AU27,'Data Tables'!AV27),IF($K$14="700-750",IF($K$15="Yes",'Data Tables'!BA27,'Data Tables'!BB27),IF($K$14="750-800",IF($K$15="Yes",'Data Tables'!BA27,'Data Tables'!BB27),IF($K$14="800-850",IF($K$15="Yes",'Data Tables'!BA27,'Data Tables'!BB27),IF($K$15="Yes",'Data Tables'!BA27,'Data Tables'!BB27)))))))))),IF($K$14="550-575",IF($K$15="Yes",'Data Tables'!AQ27,'Data Tables'!AR27),IF($K$14="575-600",IF($K$15="Yes",'Data Tables'!AQ27,'Data Tables'!AR27),IF($K$14="600-625",IF($K$15="Yes",'Data Tables'!AW27,'Data Tables'!AX27),IF($K$14="625-650",IF($K$15="Yes",'Data Tables'!AW27,'Data Tables'!AX27),IF($K$14="650-675",IF($K$15="Yes",'Data Tables'!AW27,'Data Tables'!AX27),IF($K$14="675-700",IF($K$15="Yes",'Data Tables'!AW27,'Data Tables'!AX27),IF($K$14="700-750",IF($K$15="Yes",'Data Tables'!BC27,'Data Tables'!BD27),IF($K$14="750-800",IF($K$15="Yes",'Data Tables'!BC27,'Data Tables'!BD27),IF($K$14="800-850",IF($K$15="Yes",'Data Tables'!BC27,'Data Tables'!BD27),IF($K$15="Yes",'Data Tables'!BC27,'Data Tables'!BD27))))))))))))))))</f>
        <v>0</v>
      </c>
      <c r="R27" s="288"/>
      <c r="S27" s="49" t="s">
        <v>398</v>
      </c>
      <c r="T27" s="6"/>
      <c r="W27" s="113"/>
      <c r="X27" s="113"/>
      <c r="Y27" s="113"/>
      <c r="Z27" s="113"/>
      <c r="AA27" s="113"/>
      <c r="AB27" s="113"/>
      <c r="AC27" s="113"/>
      <c r="AD27" s="113"/>
      <c r="AE27" s="113"/>
      <c r="AF27" s="113"/>
      <c r="AG27" s="113"/>
      <c r="AH27" s="113"/>
      <c r="AI27" s="113"/>
      <c r="AJ27" s="113"/>
      <c r="AK27" s="113"/>
      <c r="AL27" s="113"/>
      <c r="AM27" s="113"/>
      <c r="AN27" s="113"/>
      <c r="AO27" s="113"/>
      <c r="AQ27" s="113"/>
      <c r="AR27" s="113"/>
      <c r="AS27" s="113"/>
      <c r="AT27" s="113"/>
      <c r="AU27" s="113"/>
      <c r="AV27" s="113"/>
      <c r="AW27" s="113"/>
      <c r="AX27" s="113"/>
      <c r="AY27" s="113"/>
      <c r="AZ27" s="113"/>
      <c r="BA27" s="113"/>
      <c r="BB27" s="113"/>
      <c r="BC27" s="113"/>
    </row>
    <row r="28" spans="2:55" ht="14.45" customHeight="1" x14ac:dyDescent="0.25">
      <c r="B28" s="4"/>
      <c r="C28" s="42"/>
      <c r="D28" s="227"/>
      <c r="E28" s="49"/>
      <c r="F28" s="437" t="s">
        <v>251</v>
      </c>
      <c r="G28" s="437"/>
      <c r="H28" s="437"/>
      <c r="I28" s="437"/>
      <c r="J28" s="437"/>
      <c r="K28" s="282"/>
      <c r="L28" s="240" t="s">
        <v>17</v>
      </c>
      <c r="M28" s="49"/>
      <c r="N28" s="49"/>
      <c r="O28" s="287">
        <f>IF($K$12="Wensum",($K28*(IF($K$13="Freely draining",IF($K$14="550-575",IF($K$15="Yes",'Data Tables'!S6,'Data Tables'!T6),IF($K$14="575-600",IF($K$15="Yes",'Data Tables'!S6,'Data Tables'!T6),IF($K$14="600-625",IF($K$15="Yes",'Data Tables'!Y6,'Data Tables'!Z6),IF($K$14="625-650",IF($K$15="Yes",'Data Tables'!Y6,'Data Tables'!Z6),IF($K$14="650-675",IF($K$15="Yes",'Data Tables'!Y6,'Data Tables'!Z6),IF($K$14="675-700",IF($K$15="Yes",'Data Tables'!Y6,'Data Tables'!Z6),IF($K$14="700-750",IF($K$15="Yes",'Data Tables'!AE6,'Data Tables'!AF6),IF($K$14="750-800",IF($K$15="Yes",'Data Tables'!AE6,'Data Tables'!AF6),IF($K$14="800-850",IF($K$15="Yes",'Data Tables'!AE6,'Data Tables'!AF6),IF($K$15="Yes",'Data Tables'!Y6,'Data Tables'!Z6)))))))))),IF($K$13="Impermeable - drained for arable",IF($K$14="550-575",IF($K$15="Yes",'Data Tables'!U6,'Data Tables'!V6),IF($K$14="575-600",IF($K$15="Yes",'Data Tables'!U6,'Data Tables'!V6),IF($K$14="600-625",IF($K$15="Yes",'Data Tables'!AA6,'Data Tables'!AB6),IF($K$14="625-650",IF($K$15="Yes",'Data Tables'!AA6,'Data Tables'!AB6),IF($K$14="650-675",IF($K$15="Yes",'Data Tables'!AA6,'Data Tables'!AB6),IF($K$14="675-700",IF($K$15="Yes",'Data Tables'!AA6,'Data Tables'!AB6),IF($K$14="700-750",IF($K$15="Yes",'Data Tables'!AG6,'Data Tables'!AH6),IF($K$14="750-800",IF($K$15="Yes",'Data Tables'!AG6,'Data Tables'!AH6),IF($K$14="800-850",IF($K$15="Yes",'Data Tables'!AG6,'Data Tables'!AH6),IF($K$15="Yes",'Data Tables'!AG6,'Data Tables'!AH6)))))))))),IF($K$14="550-575",IF($K$15="Yes",'Data Tables'!W6,'Data Tables'!X6),IF($K$14="575-600",IF($K$15="Yes",'Data Tables'!W6,'Data Tables'!X6),IF($K$14="600-625",IF($K$15="Yes",'Data Tables'!AC6,'Data Tables'!AD6),IF($K$14="625-650",IF($K$15="Yes",'Data Tables'!AC6,'Data Tables'!AD6),IF($K$14="650-675",IF($K$15="Yes",'Data Tables'!AC6,'Data Tables'!AD6),IF($K$14="675-700",IF($K$15="Yes",'Data Tables'!AC6,'Data Tables'!AD6),IF($K$14="700-750",IF($K$15="Yes",'Data Tables'!AI6,'Data Tables'!AJ6),IF($K$14="750-800",IF($K$15="Yes",'Data Tables'!AI6,'Data Tables'!AJ6),IF($K$14="800-850",IF($K$15="Yes",'Data Tables'!AI6,'Data Tables'!AJ6),IF($K$15="Yes",'Data Tables'!AI6,'Data Tables'!AJ6)))))))))))))),IF($K$12="Yare",($K28*(IF($K$13="Freely draining",IF($K$14="550-575",IF($K$15="Yes",'Data Tables'!S17,'Data Tables'!T17),IF($K$14="575-600",IF($K$15="Yes",'Data Tables'!S17,'Data Tables'!T17),IF($K$14="600-625",IF($K$15="Yes",'Data Tables'!Y17,'Data Tables'!Z17),IF($K$14="625-650",IF($K$15="Yes",'Data Tables'!Y17,'Data Tables'!Z17),IF($K$14="650-675",IF($K$15="Yes",'Data Tables'!Y17,'Data Tables'!Z17),IF($K$14="675-700",IF($K$15="Yes",'Data Tables'!Y17,'Data Tables'!Z17),IF($K$14="700-750",IF($K$15="Yes",'Data Tables'!AE17,'Data Tables'!AF17),IF($K$14="750-800",IF($K$15="Yes",'Data Tables'!AE17,'Data Tables'!AF17),IF($K$14="800-850",IF($K$15="Yes",'Data Tables'!AE17,'Data Tables'!AF17),IF($K$15="Yes",'Data Tables'!AE17,'Data Tables'!AF17)))))))))),IF($K$13="Impermeable - drained for arable",IF($K$14="550-575",IF($K$15="Yes",'Data Tables'!U17,'Data Tables'!V17),IF($K$14="575-600",IF($K$15="Yes",'Data Tables'!U17,'Data Tables'!V17),IF($K$14="600-625",IF($K$15="Yes",'Data Tables'!AA17,'Data Tables'!AB17),IF($K$14="625-650",IF($K$15="Yes",'Data Tables'!AA17,'Data Tables'!AB17),IF($K$14="650-675",IF($K$15="Yes",'Data Tables'!AA17,'Data Tables'!AB17),IF($K$14="675-700",IF($K$15="Yes",'Data Tables'!AA17,'Data Tables'!AB17),IF($K$14="700-750",IF($K$15="Yes",'Data Tables'!AG17,'Data Tables'!AH17),IF($K$14="750-800",IF($K$15="Yes",'Data Tables'!AG17,'Data Tables'!AH17),IF($K$14="800-850",IF($K$15="Yes",'Data Tables'!AG17,'Data Tables'!AH17),IF($K$15="Yes",'Data Tables'!AG17,'Data Tables'!AH17)))))))))),IF($K$14="550-575",IF($K$15="Yes",'Data Tables'!W17,'Data Tables'!X17),IF($K$14="575-600",IF($K$15="Yes",'Data Tables'!W17,'Data Tables'!X17),IF($K$14="600-625",IF($K$15="Yes",'Data Tables'!AC17,'Data Tables'!AD17),IF($K$14="625-650",IF($K$15="Yes",'Data Tables'!AC17,'Data Tables'!AD17),IF($K$14="650-675",IF($K$15="Yes",'Data Tables'!AC17,'Data Tables'!AD17),IF($K$14="675-700",IF($K$15="Yes",'Data Tables'!AC17,'Data Tables'!AD17),IF($K$14="700-750",IF($K$15="Yes",'Data Tables'!AI17,'Data Tables'!AJ17),IF($K$14="750-800",IF($K$15="Yes",'Data Tables'!AI17,'Data Tables'!AJ17),IF($K$14="800-850",IF($K$15="Yes",'Data Tables'!AI17,'Data Tables'!AJ17),IF($K$15="Yes",'Data Tables'!AI17,'Data Tables'!AJ17)))))))))))))),($K28*(IF($K$13="Freely draining",IF($K$14="550-575",IF($K$15="Yes",'Data Tables'!S28,'Data Tables'!T28),IF($K$14="575-600",IF($K$15="Yes",'Data Tables'!S28,'Data Tables'!T28),IF($K$14="600-625",IF($K$15="Yes",'Data Tables'!Y28,'Data Tables'!Z28),IF($K$14="625-650",IF($K$15="Yes",'Data Tables'!Y28,'Data Tables'!Z28),IF($K$14="650-675",IF($K$15="Yes",'Data Tables'!Y28,'Data Tables'!Z28),IF($K$14="675-700",IF($K$15="Yes",'Data Tables'!Y28,'Data Tables'!Z28),IF($K$14="700-750",IF($K$15="Yes",'Data Tables'!AE28,'Data Tables'!AF28),IF($K$14="750-800",IF($K$15="Yes",'Data Tables'!AE28,'Data Tables'!AF28),IF($K$14="800-850",IF($K$15="Yes",'Data Tables'!AE28,'Data Tables'!AF28),IF($K$15="Yes",'Data Tables'!AE28,'Data Tables'!AF28)))))))))),IF($K$13="Impermeable - drained for arable",IF($K$14="550-575",IF($K$15="Yes",'Data Tables'!U28,'Data Tables'!V28),IF($K$14="575-600",IF($K$15="Yes",'Data Tables'!U28,'Data Tables'!V28),IF($K$14="600-625",IF($K$15="Yes",'Data Tables'!AA28,'Data Tables'!AB28),IF($K$14="625-650",IF($K$15="Yes",'Data Tables'!AA28,'Data Tables'!AB28),IF($K$14="650-675",IF($K$15="Yes",'Data Tables'!AA28,'Data Tables'!AB28),IF($K$14="675-700",IF($K$15="Yes",'Data Tables'!AA28,'Data Tables'!AB28),IF($K$14="700-750",IF($K$15="Yes",'Data Tables'!AG28,'Data Tables'!AH28),IF($K$14="750-800",IF($K$15="Yes",'Data Tables'!AG28,'Data Tables'!AH28),IF($K$14="800-850",IF($K$15="Yes",'Data Tables'!AG28,'Data Tables'!AH28),IF($K$15="Yes",'Data Tables'!AG28,'Data Tables'!AH28)))))))))),IF($K$14="550-575",IF($K$15="Yes",'Data Tables'!W28,'Data Tables'!X28),IF($K$14="575-600",IF($K$15="Yes",'Data Tables'!W28,'Data Tables'!X28),IF($K$14="600-625",IF($K$15="Yes",'Data Tables'!AC28,'Data Tables'!AD28),IF($K$14="625-650",IF($K$15="Yes",'Data Tables'!AC28,'Data Tables'!AD28),IF($K$14="650-675",IF($K$15="Yes",'Data Tables'!AC28,'Data Tables'!AD28),IF($K$14="675-700",IF($K$15="Yes",'Data Tables'!AC28,'Data Tables'!AD28),IF($K$14="700-750",IF($K$15="Yes",'Data Tables'!AI28,'Data Tables'!AJ28),IF($K$14="750-800",IF($K$15="Yes",'Data Tables'!AI28,'Data Tables'!AJ28),IF($K$14="800-850",IF($K$15="Yes",'Data Tables'!AI28,'Data Tables'!AJ28),IF($K$15="Yes",'Data Tables'!AI28,'Data Tables'!AJ28))))))))))))))))</f>
        <v>0</v>
      </c>
      <c r="P28" s="284"/>
      <c r="Q28" s="287">
        <f>IF($K$12="Wensum",($K28*(IF($K$13="Freely draining",IF($K$14="550-575",IF($K$15="Yes",'Data Tables'!AM6,'Data Tables'!AN6),IF($K$14="575-600",IF($K$15="Yes",'Data Tables'!AM6,'Data Tables'!AN6),IF($K$14="600-625",IF($K$15="Yes",'Data Tables'!AS6,'Data Tables'!AT6),IF($K$14="625-650",IF($K$15="Yes",'Data Tables'!AS6,'Data Tables'!AT6),IF($K$14="650-675",IF($K$15="Yes",'Data Tables'!AS6,'Data Tables'!AT6),IF($K$14="675-700",IF($K$15="Yes",'Data Tables'!AS6,'Data Tables'!AT6),IF($K$14="700-750",IF($K$15="Yes",'Data Tables'!AY6,'Data Tables'!AZ6),IF($K$14="750-800",IF($K$15="Yes",'Data Tables'!AY6,'Data Tables'!AZ6),IF($K$14="800-850",IF($K$15="Yes",'Data Tables'!AY6,'Data Tables'!AZ6),IF($K$15="Yes",'Data Tables'!AS6,'Data Tables'!AT6)))))))))),IF($K$13="Impermeable - drained for arable",IF($K$14="550-575",IF($K$15="Yes",'Data Tables'!AO6,'Data Tables'!AP6),IF($K$14="575-600",IF($K$15="Yes",'Data Tables'!AO6,'Data Tables'!AP6),IF($K$14="600-625",IF($K$15="Yes",'Data Tables'!AU6,'Data Tables'!AV6),IF($K$14="625-650",IF($K$15="Yes",'Data Tables'!AU6,'Data Tables'!AV6),IF($K$14="650-675",IF($K$15="Yes",'Data Tables'!AU6,'Data Tables'!AV6),IF($K$14="675-700",IF($K$15="Yes",'Data Tables'!AU6,'Data Tables'!AV6),IF($K$14="700-750",IF($K$15="Yes",'Data Tables'!BA6,'Data Tables'!BB6),IF($K$14="750-800",IF($K$15="Yes",'Data Tables'!BA6,'Data Tables'!BB6),IF($K$14="800-850",IF($K$15="Yes",'Data Tables'!BA6,'Data Tables'!BB6),IF($K$15="Yes",'Data Tables'!BA6,'Data Tables'!BB6)))))))))),IF($K$14="550-575",IF($K$15="Yes",'Data Tables'!AQ6,'Data Tables'!AR6),IF($K$14="575-600",IF($K$15="Yes",'Data Tables'!AQ6,'Data Tables'!AR6),IF($K$14="600-625",IF($K$15="Yes",'Data Tables'!AW6,'Data Tables'!AX6),IF($K$14="625-650",IF($K$15="Yes",'Data Tables'!AW6,'Data Tables'!AX6),IF($K$14="650-675",IF($K$15="Yes",'Data Tables'!AW6,'Data Tables'!AX6),IF($K$14="675-700",IF($K$15="Yes",'Data Tables'!AW6,'Data Tables'!AX6),IF($K$14="700-750",IF($K$15="Yes",'Data Tables'!BC6,'Data Tables'!BD6),IF($K$14="750-800",IF($K$15="Yes",'Data Tables'!BC6,'Data Tables'!BD6),IF($K$14="800-850",IF($K$15="Yes",'Data Tables'!BC6,'Data Tables'!BD6),IF($K$15="Yes",'Data Tables'!BC6,'Data Tables'!BD6)))))))))))))),IF($K$12="Yare",($K28*(IF($K$13="Freely draining",IF($K$14="550-575",IF($K$15="Yes",'Data Tables'!AM17,'Data Tables'!AN17),IF($K$14="575-600",IF($K$15="Yes",'Data Tables'!AM17,'Data Tables'!AN17),IF($K$14="600-625",IF($K$15="Yes",'Data Tables'!AS17,'Data Tables'!AT17),IF($K$14="625-650",IF($K$15="Yes",'Data Tables'!AS17,'Data Tables'!AT17),IF($K$14="650-675",IF($K$15="Yes",'Data Tables'!AS17,'Data Tables'!AT17),IF($K$14="675-700",IF($K$15="Yes",'Data Tables'!AS17,'Data Tables'!AT17),IF($K$14="700-750",IF($K$15="Yes",'Data Tables'!AY17,'Data Tables'!AZ17),IF($K$14="750-800",IF($K$15="Yes",'Data Tables'!AY17,'Data Tables'!AZ17),IF($K$14="800-850",IF($K$15="Yes",'Data Tables'!AY17,'Data Tables'!AZ17),IF($K$15="Yes",'Data Tables'!AY17,'Data Tables'!AZ17)))))))))),IF($K$13="Impermeable - drained for arable",IF($K$14="550-575",IF($K$15="Yes",'Data Tables'!AO17,'Data Tables'!AP17),IF($K$14="575-600",IF($K$15="Yes",'Data Tables'!AO17,'Data Tables'!AP17),IF($K$14="600-625",IF($K$15="Yes",'Data Tables'!AU17,'Data Tables'!AV17),IF($K$14="625-650",IF($K$15="Yes",'Data Tables'!AU17,'Data Tables'!AV17),IF($K$14="650-675",IF($K$15="Yes",'Data Tables'!AU17,'Data Tables'!AV17),IF($K$14="675-700",IF($K$15="Yes",'Data Tables'!AU17,'Data Tables'!AV17),IF($K$14="700-750",IF($K$15="Yes",'Data Tables'!BA17,'Data Tables'!BB17),IF($K$14="750-800",IF($K$15="Yes",'Data Tables'!BA17,'Data Tables'!BB17),IF($K$14="800-850",IF($K$15="Yes",'Data Tables'!BA17,'Data Tables'!BB17),IF($K$15="Yes",'Data Tables'!BA17,'Data Tables'!BB17)))))))))),IF($K$14="550-575",IF($K$15="Yes",'Data Tables'!AQ17,'Data Tables'!AR17),IF($K$14="575-600",IF($K$15="Yes",'Data Tables'!AQ17,'Data Tables'!AR17),IF($K$14="600-625",IF($K$15="Yes",'Data Tables'!AW17,'Data Tables'!AX17),IF($K$14="625-650",IF($K$15="Yes",'Data Tables'!AW17,'Data Tables'!AX17),IF($K$14="650-675",IF($K$15="Yes",'Data Tables'!AW17,'Data Tables'!AX17),IF($K$14="675-700",IF($K$15="Yes",'Data Tables'!AW17,'Data Tables'!AX17),IF($K$14="700-750",IF($K$15="Yes",'Data Tables'!BC17,'Data Tables'!BD17),IF($K$14="750-800",IF($K$15="Yes",'Data Tables'!BC17,'Data Tables'!BD17),IF($K$14="800-850",IF($K$15="Yes",'Data Tables'!BC17,'Data Tables'!BD17),IF($K$15="Yes",'Data Tables'!BC17,'Data Tables'!BD17)))))))))))))),($K28*(IF($K$13="Freely draining",IF($K$14="550-575",IF($K$15="Yes",'Data Tables'!AM28,'Data Tables'!AN28),IF($K$14="575-600",IF($K$15="Yes",'Data Tables'!AM28,'Data Tables'!AN28),IF($K$14="600-625",IF($K$15="Yes",'Data Tables'!AS28,'Data Tables'!AT28),IF($K$14="625-650",IF($K$15="Yes",'Data Tables'!AS28,'Data Tables'!AT28),IF($K$14="650-675",IF($K$15="Yes",'Data Tables'!AS28,'Data Tables'!AT28),IF($K$14="675-700",IF($K$15="Yes",'Data Tables'!AS28,'Data Tables'!AT28),IF($K$14="700-750",IF($K$15="Yes",'Data Tables'!AY28,'Data Tables'!AZ28),IF($K$14="750-800",IF($K$15="Yes",'Data Tables'!AY28,'Data Tables'!AZ28),IF($K$14="800-850",IF($K$15="Yes",'Data Tables'!AY28,'Data Tables'!AZ28),IF($K$15="Yes",'Data Tables'!AY28,'Data Tables'!AZ28)))))))))),IF($K$13="Impermeable - drained for arable",IF($K$14="550-575",IF($K$15="Yes",'Data Tables'!AO28,'Data Tables'!AP28),IF($K$14="575-600",IF($K$15="Yes",'Data Tables'!AO28,'Data Tables'!AP28),IF($K$14="600-625",IF($K$15="Yes",'Data Tables'!AU28,'Data Tables'!AV28),IF($K$14="625-650",IF($K$15="Yes",'Data Tables'!AU28,'Data Tables'!AV28),IF($K$14="650-675",IF($K$15="Yes",'Data Tables'!AU28,'Data Tables'!AV28),IF($K$14="675-700",IF($K$15="Yes",'Data Tables'!AU28,'Data Tables'!AV28),IF($K$14="700-750",IF($K$15="Yes",'Data Tables'!BA28,'Data Tables'!BB28),IF($K$14="750-800",IF($K$15="Yes",'Data Tables'!BA28,'Data Tables'!BB28),IF($K$14="800-850",IF($K$15="Yes",'Data Tables'!BA28,'Data Tables'!BB28),IF($K$15="Yes",'Data Tables'!BA28,'Data Tables'!BB28)))))))))),IF($K$14="550-575",IF($K$15="Yes",'Data Tables'!AQ28,'Data Tables'!AR28),IF($K$14="575-600",IF($K$15="Yes",'Data Tables'!AQ28,'Data Tables'!AR28),IF($K$14="600-625",IF($K$15="Yes",'Data Tables'!AW28,'Data Tables'!AX28),IF($K$14="625-650",IF($K$15="Yes",'Data Tables'!AW28,'Data Tables'!AX28),IF($K$14="650-675",IF($K$15="Yes",'Data Tables'!AW28,'Data Tables'!AX28),IF($K$14="675-700",IF($K$15="Yes",'Data Tables'!AW28,'Data Tables'!AX28),IF($K$14="700-750",IF($K$15="Yes",'Data Tables'!BC28,'Data Tables'!BD28),IF($K$14="750-800",IF($K$15="Yes",'Data Tables'!BC28,'Data Tables'!BD28),IF($K$14="800-850",IF($K$15="Yes",'Data Tables'!BC28,'Data Tables'!BD28),IF($K$15="Yes",'Data Tables'!BC28,'Data Tables'!BD28))))))))))))))))</f>
        <v>0</v>
      </c>
      <c r="R28" s="288"/>
      <c r="S28" s="49" t="s">
        <v>398</v>
      </c>
      <c r="T28" s="6"/>
      <c r="W28" s="113"/>
      <c r="X28" s="113"/>
      <c r="Y28" s="113"/>
      <c r="Z28" s="113"/>
      <c r="AA28" s="113"/>
      <c r="AB28" s="113"/>
      <c r="AC28" s="113"/>
      <c r="AD28" s="113"/>
      <c r="AE28" s="113"/>
      <c r="AF28" s="113"/>
      <c r="AG28" s="113"/>
      <c r="AH28" s="113"/>
      <c r="AI28" s="113"/>
      <c r="AJ28" s="113"/>
      <c r="AK28" s="113"/>
      <c r="AL28" s="113"/>
      <c r="AM28" s="113"/>
      <c r="AN28" s="113"/>
      <c r="AO28" s="113"/>
      <c r="AQ28" s="113"/>
      <c r="AR28" s="113"/>
      <c r="AS28" s="113"/>
      <c r="AT28" s="113"/>
      <c r="AU28" s="113"/>
      <c r="AV28" s="113"/>
      <c r="AW28" s="113"/>
      <c r="AX28" s="113"/>
      <c r="AY28" s="113"/>
      <c r="AZ28" s="113"/>
      <c r="BA28" s="113"/>
      <c r="BB28" s="113"/>
      <c r="BC28" s="113"/>
    </row>
    <row r="29" spans="2:55" ht="14.45" customHeight="1" x14ac:dyDescent="0.25">
      <c r="B29" s="4"/>
      <c r="C29" s="42"/>
      <c r="D29" s="227"/>
      <c r="E29" s="49"/>
      <c r="F29" s="437" t="s">
        <v>395</v>
      </c>
      <c r="G29" s="437"/>
      <c r="H29" s="437"/>
      <c r="I29" s="437"/>
      <c r="J29" s="437"/>
      <c r="K29" s="282"/>
      <c r="L29" s="240" t="s">
        <v>17</v>
      </c>
      <c r="M29" s="49"/>
      <c r="N29" s="49"/>
      <c r="O29" s="287">
        <f>IF($K$12="Wensum",($K29*(IF($K$13="Freely draining",IF($K$14="550-575",IF($K$15="Yes",'Data Tables'!S7,'Data Tables'!T7),IF($K$14="575-600",IF($K$15="Yes",'Data Tables'!S7,'Data Tables'!T7),IF($K$14="600-625",IF($K$15="Yes",'Data Tables'!Y7,'Data Tables'!Z7),IF($K$14="625-650",IF($K$15="Yes",'Data Tables'!Y7,'Data Tables'!Z7),IF($K$14="650-675",IF($K$15="Yes",'Data Tables'!Y7,'Data Tables'!Z7),IF($K$14="675-700",IF($K$15="Yes",'Data Tables'!Y7,'Data Tables'!Z7),IF($K$14="700-750",IF($K$15="Yes",'Data Tables'!AE7,'Data Tables'!AF7),IF($K$14="750-800",IF($K$15="Yes",'Data Tables'!AE7,'Data Tables'!AF7),IF($K$14="800-850",IF($K$15="Yes",'Data Tables'!AE7,'Data Tables'!AF7),IF($K$15="Yes",'Data Tables'!Y7,'Data Tables'!Z7)))))))))),IF($K$13="Impermeable - drained for arable",IF($K$14="550-575",IF($K$15="Yes",'Data Tables'!U7,'Data Tables'!V7),IF($K$14="575-600",IF($K$15="Yes",'Data Tables'!U7,'Data Tables'!V7),IF($K$14="600-625",IF($K$15="Yes",'Data Tables'!AA7,'Data Tables'!AB7),IF($K$14="625-650",IF($K$15="Yes",'Data Tables'!AA7,'Data Tables'!AB7),IF($K$14="650-675",IF($K$15="Yes",'Data Tables'!AA7,'Data Tables'!AB7),IF($K$14="675-700",IF($K$15="Yes",'Data Tables'!AA7,'Data Tables'!AB7),IF($K$14="700-750",IF($K$15="Yes",'Data Tables'!AG7,'Data Tables'!AH7),IF($K$14="750-800",IF($K$15="Yes",'Data Tables'!AG7,'Data Tables'!AH7),IF($K$14="800-850",IF($K$15="Yes",'Data Tables'!AG7,'Data Tables'!AH7),IF($K$15="Yes",'Data Tables'!AG7,'Data Tables'!AH7)))))))))),IF($K$14="550-575",IF($K$15="Yes",'Data Tables'!W7,'Data Tables'!X7),IF($K$14="575-600",IF($K$15="Yes",'Data Tables'!W7,'Data Tables'!X7),IF($K$14="600-625",IF($K$15="Yes",'Data Tables'!AC7,'Data Tables'!AD7),IF($K$14="625-650",IF($K$15="Yes",'Data Tables'!AC7,'Data Tables'!AD7),IF($K$14="650-675",IF($K$15="Yes",'Data Tables'!AC7,'Data Tables'!AD7),IF($K$14="675-700",IF($K$15="Yes",'Data Tables'!AC7,'Data Tables'!AD7),IF($K$14="700-750",IF($K$15="Yes",'Data Tables'!AI7,'Data Tables'!AJ7),IF($K$14="750-800",IF($K$15="Yes",'Data Tables'!AI7,'Data Tables'!AJ7),IF($K$14="800-850",IF($K$15="Yes",'Data Tables'!AI7,'Data Tables'!AJ7),IF($K$15="Yes",'Data Tables'!AI7,'Data Tables'!AJ7)))))))))))))),IF($K$12="Yare",($K29*(IF($K$13="Freely draining",IF($K$14="550-575",IF($K$15="Yes",'Data Tables'!S18,'Data Tables'!T18),IF($K$14="575-600",IF($K$15="Yes",'Data Tables'!S18,'Data Tables'!T18),IF($K$14="600-625",IF($K$15="Yes",'Data Tables'!Y18,'Data Tables'!Z18),IF($K$14="625-650",IF($K$15="Yes",'Data Tables'!Y18,'Data Tables'!Z18),IF($K$14="650-675",IF($K$15="Yes",'Data Tables'!Y18,'Data Tables'!Z18),IF($K$14="675-700",IF($K$15="Yes",'Data Tables'!Y18,'Data Tables'!Z18),IF($K$14="700-750",IF($K$15="Yes",'Data Tables'!AE18,'Data Tables'!AF18),IF($K$14="750-800",IF($K$15="Yes",'Data Tables'!AE18,'Data Tables'!AF18),IF($K$14="800-850",IF($K$15="Yes",'Data Tables'!AE18,'Data Tables'!AF18),IF($K$15="Yes",'Data Tables'!AE18,'Data Tables'!AF18)))))))))),IF($K$13="Impermeable - drained for arable",IF($K$14="550-575",IF($K$15="Yes",'Data Tables'!U18,'Data Tables'!V18),IF($K$14="575-600",IF($K$15="Yes",'Data Tables'!U18,'Data Tables'!V18),IF($K$14="600-625",IF($K$15="Yes",'Data Tables'!AA18,'Data Tables'!AB18),IF($K$14="625-650",IF($K$15="Yes",'Data Tables'!AA18,'Data Tables'!AB18),IF($K$14="650-675",IF($K$15="Yes",'Data Tables'!AA18,'Data Tables'!AB18),IF($K$14="675-700",IF($K$15="Yes",'Data Tables'!AA18,'Data Tables'!AB18),IF($K$14="700-750",IF($K$15="Yes",'Data Tables'!AG18,'Data Tables'!AH18),IF($K$14="750-800",IF($K$15="Yes",'Data Tables'!AG18,'Data Tables'!AH18),IF($K$14="800-850",IF($K$15="Yes",'Data Tables'!AG18,'Data Tables'!AH18),IF($K$15="Yes",'Data Tables'!AG18,'Data Tables'!AH18)))))))))),IF($K$14="550-575",IF($K$15="Yes",'Data Tables'!W18,'Data Tables'!X18),IF($K$14="575-600",IF($K$15="Yes",'Data Tables'!W18,'Data Tables'!X18),IF($K$14="600-625",IF($K$15="Yes",'Data Tables'!AC18,'Data Tables'!AD18),IF($K$14="625-650",IF($K$15="Yes",'Data Tables'!AC18,'Data Tables'!AD18),IF($K$14="650-675",IF($K$15="Yes",'Data Tables'!AC18,'Data Tables'!AD18),IF($K$14="675-700",IF($K$15="Yes",'Data Tables'!AC18,'Data Tables'!AD18),IF($K$14="700-750",IF($K$15="Yes",'Data Tables'!AI18,'Data Tables'!AJ18),IF($K$14="750-800",IF($K$15="Yes",'Data Tables'!AI18,'Data Tables'!AJ18),IF($K$14="800-850",IF($K$15="Yes",'Data Tables'!AI18,'Data Tables'!AJ18),IF($K$15="Yes",'Data Tables'!AI18,'Data Tables'!AJ18)))))))))))))),($K29*(IF($K$13="Freely draining",IF($K$14="550-575",IF($K$15="Yes",'Data Tables'!S29,'Data Tables'!T29),IF($K$14="575-600",IF($K$15="Yes",'Data Tables'!S29,'Data Tables'!T29),IF($K$14="600-625",IF($K$15="Yes",'Data Tables'!Y29,'Data Tables'!Z29),IF($K$14="625-650",IF($K$15="Yes",'Data Tables'!Y29,'Data Tables'!Z29),IF($K$14="650-675",IF($K$15="Yes",'Data Tables'!Y29,'Data Tables'!Z29),IF($K$14="675-700",IF($K$15="Yes",'Data Tables'!Y29,'Data Tables'!Z29),IF($K$14="700-750",IF($K$15="Yes",'Data Tables'!AE29,'Data Tables'!AF29),IF($K$14="750-800",IF($K$15="Yes",'Data Tables'!AE29,'Data Tables'!AF29),IF($K$14="800-850",IF($K$15="Yes",'Data Tables'!AE29,'Data Tables'!AF29),IF($K$15="Yes",'Data Tables'!AE29,'Data Tables'!AF29)))))))))),IF($K$13="Impermeable - drained for arable",IF($K$14="550-575",IF($K$15="Yes",'Data Tables'!U29,'Data Tables'!V29),IF($K$14="575-600",IF($K$15="Yes",'Data Tables'!U29,'Data Tables'!V29),IF($K$14="600-625",IF($K$15="Yes",'Data Tables'!AA29,'Data Tables'!AB29),IF($K$14="625-650",IF($K$15="Yes",'Data Tables'!AA29,'Data Tables'!AB29),IF($K$14="650-675",IF($K$15="Yes",'Data Tables'!AA29,'Data Tables'!AB29),IF($K$14="675-700",IF($K$15="Yes",'Data Tables'!AA29,'Data Tables'!AB29),IF($K$14="700-750",IF($K$15="Yes",'Data Tables'!AG29,'Data Tables'!AH29),IF($K$14="750-800",IF($K$15="Yes",'Data Tables'!AG29,'Data Tables'!AH29),IF($K$14="800-850",IF($K$15="Yes",'Data Tables'!AG29,'Data Tables'!AH29),IF($K$15="Yes",'Data Tables'!AG29,'Data Tables'!AH29)))))))))),IF($K$14="550-575",IF($K$15="Yes",'Data Tables'!W29,'Data Tables'!X29),IF($K$14="575-600",IF($K$15="Yes",'Data Tables'!W29,'Data Tables'!X29),IF($K$14="600-625",IF($K$15="Yes",'Data Tables'!AC29,'Data Tables'!AD29),IF($K$14="625-650",IF($K$15="Yes",'Data Tables'!AC29,'Data Tables'!AD29),IF($K$14="650-675",IF($K$15="Yes",'Data Tables'!AC29,'Data Tables'!AD29),IF($K$14="675-700",IF($K$15="Yes",'Data Tables'!AC29,'Data Tables'!AD29),IF($K$14="700-750",IF($K$15="Yes",'Data Tables'!AI29,'Data Tables'!AJ29),IF($K$14="750-800",IF($K$15="Yes",'Data Tables'!AI29,'Data Tables'!AJ29),IF($K$14="800-850",IF($K$15="Yes",'Data Tables'!AI29,'Data Tables'!AJ29),IF($K$15="Yes",'Data Tables'!AI29,'Data Tables'!AJ29))))))))))))))))</f>
        <v>0</v>
      </c>
      <c r="P29" s="284"/>
      <c r="Q29" s="287">
        <f>IF($K$12="Wensum",($K29*(IF($K$13="Freely draining",IF($K$14="550-575",IF($K$15="Yes",'Data Tables'!AM7,'Data Tables'!AN7),IF($K$14="575-600",IF($K$15="Yes",'Data Tables'!AM7,'Data Tables'!AN7),IF($K$14="600-625",IF($K$15="Yes",'Data Tables'!AS7,'Data Tables'!AT7),IF($K$14="625-650",IF($K$15="Yes",'Data Tables'!AS7,'Data Tables'!AT7),IF($K$14="650-675",IF($K$15="Yes",'Data Tables'!AS7,'Data Tables'!AT7),IF($K$14="675-700",IF($K$15="Yes",'Data Tables'!AS7,'Data Tables'!AT7),IF($K$14="700-750",IF($K$15="Yes",'Data Tables'!AY7,'Data Tables'!AZ7),IF($K$14="750-800",IF($K$15="Yes",'Data Tables'!AY7,'Data Tables'!AZ7),IF($K$14="800-850",IF($K$15="Yes",'Data Tables'!AY7,'Data Tables'!AZ7),IF($K$15="Yes",'Data Tables'!AS7,'Data Tables'!AT7)))))))))),IF($K$13="Impermeable - drained for arable",IF($K$14="550-575",IF($K$15="Yes",'Data Tables'!AO7,'Data Tables'!AP7),IF($K$14="575-600",IF($K$15="Yes",'Data Tables'!AO7,'Data Tables'!AP7),IF($K$14="600-625",IF($K$15="Yes",'Data Tables'!AU7,'Data Tables'!AV7),IF($K$14="625-650",IF($K$15="Yes",'Data Tables'!AU7,'Data Tables'!AV7),IF($K$14="650-675",IF($K$15="Yes",'Data Tables'!AU7,'Data Tables'!AV7),IF($K$14="675-700",IF($K$15="Yes",'Data Tables'!AU7,'Data Tables'!AV7),IF($K$14="700-750",IF($K$15="Yes",'Data Tables'!BA7,'Data Tables'!BB7),IF($K$14="750-800",IF($K$15="Yes",'Data Tables'!BA7,'Data Tables'!BB7),IF($K$14="800-850",IF($K$15="Yes",'Data Tables'!BA7,'Data Tables'!BB7),IF($K$15="Yes",'Data Tables'!BA7,'Data Tables'!BB7)))))))))),IF($K$14="550-575",IF($K$15="Yes",'Data Tables'!AQ7,'Data Tables'!AR7),IF($K$14="575-600",IF($K$15="Yes",'Data Tables'!AQ7,'Data Tables'!AR7),IF($K$14="600-625",IF($K$15="Yes",'Data Tables'!AW7,'Data Tables'!AX7),IF($K$14="625-650",IF($K$15="Yes",'Data Tables'!AW7,'Data Tables'!AX7),IF($K$14="650-675",IF($K$15="Yes",'Data Tables'!AW7,'Data Tables'!AX7),IF($K$14="675-700",IF($K$15="Yes",'Data Tables'!AW7,'Data Tables'!AX7),IF($K$14="700-750",IF($K$15="Yes",'Data Tables'!BC7,'Data Tables'!BD7),IF($K$14="750-800",IF($K$15="Yes",'Data Tables'!BC7,'Data Tables'!BD7),IF($K$14="800-850",IF($K$15="Yes",'Data Tables'!BC7,'Data Tables'!BD7),IF($K$15="Yes",'Data Tables'!BC7,'Data Tables'!BD7)))))))))))))),IF($K$12="Yare",($K29*(IF($K$13="Freely draining",IF($K$14="550-575",IF($K$15="Yes",'Data Tables'!AM18,'Data Tables'!AN18),IF($K$14="575-600",IF($K$15="Yes",'Data Tables'!AM18,'Data Tables'!AN18),IF($K$14="600-625",IF($K$15="Yes",'Data Tables'!AS18,'Data Tables'!AT18),IF($K$14="625-650",IF($K$15="Yes",'Data Tables'!AS18,'Data Tables'!AT18),IF($K$14="650-675",IF($K$15="Yes",'Data Tables'!AS18,'Data Tables'!AT18),IF($K$14="675-700",IF($K$15="Yes",'Data Tables'!AS18,'Data Tables'!AT18),IF($K$14="700-750",IF($K$15="Yes",'Data Tables'!AY18,'Data Tables'!AZ18),IF($K$14="750-800",IF($K$15="Yes",'Data Tables'!AY18,'Data Tables'!AZ18),IF($K$14="800-850",IF($K$15="Yes",'Data Tables'!AY18,'Data Tables'!AZ18),IF($K$15="Yes",'Data Tables'!AY18,'Data Tables'!AZ18)))))))))),IF($K$13="Impermeable - drained for arable",IF($K$14="550-575",IF($K$15="Yes",'Data Tables'!AO18,'Data Tables'!AP18),IF($K$14="575-600",IF($K$15="Yes",'Data Tables'!AO18,'Data Tables'!AP18),IF($K$14="600-625",IF($K$15="Yes",'Data Tables'!AU18,'Data Tables'!AV18),IF($K$14="625-650",IF($K$15="Yes",'Data Tables'!AU18,'Data Tables'!AV18),IF($K$14="650-675",IF($K$15="Yes",'Data Tables'!AU18,'Data Tables'!AV18),IF($K$14="675-700",IF($K$15="Yes",'Data Tables'!AU18,'Data Tables'!AV18),IF($K$14="700-750",IF($K$15="Yes",'Data Tables'!BA18,'Data Tables'!BB18),IF($K$14="750-800",IF($K$15="Yes",'Data Tables'!BA18,'Data Tables'!BB18),IF($K$14="800-850",IF($K$15="Yes",'Data Tables'!BA18,'Data Tables'!BB18),IF($K$15="Yes",'Data Tables'!BA18,'Data Tables'!BB18)))))))))),IF($K$14="550-575",IF($K$15="Yes",'Data Tables'!AQ18,'Data Tables'!AR18),IF($K$14="575-600",IF($K$15="Yes",'Data Tables'!AQ18,'Data Tables'!AR18),IF($K$14="600-625",IF($K$15="Yes",'Data Tables'!AW18,'Data Tables'!AX18),IF($K$14="625-650",IF($K$15="Yes",'Data Tables'!AW18,'Data Tables'!AX18),IF($K$14="650-675",IF($K$15="Yes",'Data Tables'!AW18,'Data Tables'!AX18),IF($K$14="675-700",IF($K$15="Yes",'Data Tables'!AW18,'Data Tables'!AX18),IF($K$14="700-750",IF($K$15="Yes",'Data Tables'!BC18,'Data Tables'!BD18),IF($K$14="750-800",IF($K$15="Yes",'Data Tables'!BC18,'Data Tables'!BD18),IF($K$14="800-850",IF($K$15="Yes",'Data Tables'!BC18,'Data Tables'!BD18),IF($K$15="Yes",'Data Tables'!BC18,'Data Tables'!BD18)))))))))))))),($K29*(IF($K$13="Freely draining",IF($K$14="550-575",IF($K$15="Yes",'Data Tables'!AM29,'Data Tables'!AN29),IF($K$14="575-600",IF($K$15="Yes",'Data Tables'!AM29,'Data Tables'!AN29),IF($K$14="600-625",IF($K$15="Yes",'Data Tables'!AS29,'Data Tables'!AT29),IF($K$14="625-650",IF($K$15="Yes",'Data Tables'!AS29,'Data Tables'!AT29),IF($K$14="650-675",IF($K$15="Yes",'Data Tables'!AS29,'Data Tables'!AT29),IF($K$14="675-700",IF($K$15="Yes",'Data Tables'!AS29,'Data Tables'!AT29),IF($K$14="700-750",IF($K$15="Yes",'Data Tables'!AY29,'Data Tables'!AZ29),IF($K$14="750-800",IF($K$15="Yes",'Data Tables'!AY29,'Data Tables'!AZ29),IF($K$14="800-850",IF($K$15="Yes",'Data Tables'!AY29,'Data Tables'!AZ29),IF($K$15="Yes",'Data Tables'!AY29,'Data Tables'!AZ29)))))))))),IF($K$13="Impermeable - drained for arable",IF($K$14="550-575",IF($K$15="Yes",'Data Tables'!AO29,'Data Tables'!AP29),IF($K$14="575-600",IF($K$15="Yes",'Data Tables'!AO29,'Data Tables'!AP29),IF($K$14="600-625",IF($K$15="Yes",'Data Tables'!AU29,'Data Tables'!AV29),IF($K$14="625-650",IF($K$15="Yes",'Data Tables'!AU29,'Data Tables'!AV29),IF($K$14="650-675",IF($K$15="Yes",'Data Tables'!AU29,'Data Tables'!AV29),IF($K$14="675-700",IF($K$15="Yes",'Data Tables'!AU29,'Data Tables'!AV29),IF($K$14="700-750",IF($K$15="Yes",'Data Tables'!BA29,'Data Tables'!BB29),IF($K$14="750-800",IF($K$15="Yes",'Data Tables'!BA29,'Data Tables'!BB29),IF($K$14="800-850",IF($K$15="Yes",'Data Tables'!BA29,'Data Tables'!BB29),IF($K$15="Yes",'Data Tables'!BA29,'Data Tables'!BB29)))))))))),IF($K$14="550-575",IF($K$15="Yes",'Data Tables'!AQ29,'Data Tables'!AR29),IF($K$14="575-600",IF($K$15="Yes",'Data Tables'!AQ29,'Data Tables'!AR29),IF($K$14="600-625",IF($K$15="Yes",'Data Tables'!AW29,'Data Tables'!AX29),IF($K$14="625-650",IF($K$15="Yes",'Data Tables'!AW29,'Data Tables'!AX29),IF($K$14="650-675",IF($K$15="Yes",'Data Tables'!AW29,'Data Tables'!AX29),IF($K$14="675-700",IF($K$15="Yes",'Data Tables'!AW29,'Data Tables'!AX29),IF($K$14="700-750",IF($K$15="Yes",'Data Tables'!BC29,'Data Tables'!BD29),IF($K$14="750-800",IF($K$15="Yes",'Data Tables'!BC29,'Data Tables'!BD29),IF($K$14="800-850",IF($K$15="Yes",'Data Tables'!BC29,'Data Tables'!BD29),IF($K$15="Yes",'Data Tables'!BC29,'Data Tables'!BD29))))))))))))))))</f>
        <v>0</v>
      </c>
      <c r="R29" s="288"/>
      <c r="S29" s="49" t="s">
        <v>398</v>
      </c>
      <c r="T29" s="6"/>
      <c r="W29" s="113"/>
      <c r="X29" s="113"/>
      <c r="Y29" s="113"/>
      <c r="Z29" s="113"/>
      <c r="AA29" s="113"/>
      <c r="AB29" s="113"/>
      <c r="AC29" s="113"/>
      <c r="AD29" s="113"/>
      <c r="AE29" s="113"/>
      <c r="AF29" s="113"/>
      <c r="AG29" s="113"/>
      <c r="AH29" s="113"/>
      <c r="AI29" s="113"/>
      <c r="AJ29" s="113"/>
      <c r="AK29" s="113"/>
      <c r="AL29" s="113"/>
      <c r="AM29" s="113"/>
      <c r="AN29" s="113"/>
      <c r="AO29" s="113"/>
      <c r="AQ29" s="113"/>
      <c r="AR29" s="113"/>
      <c r="AS29" s="113"/>
      <c r="AT29" s="113"/>
      <c r="AU29" s="113"/>
      <c r="AV29" s="113"/>
      <c r="AW29" s="113"/>
      <c r="AX29" s="113"/>
      <c r="AY29" s="113"/>
      <c r="AZ29" s="113"/>
      <c r="BA29" s="113"/>
      <c r="BB29" s="113"/>
      <c r="BC29" s="113"/>
    </row>
    <row r="30" spans="2:55" ht="14.45" customHeight="1" x14ac:dyDescent="0.25">
      <c r="B30" s="4"/>
      <c r="C30" s="42"/>
      <c r="D30" s="227"/>
      <c r="E30" s="49"/>
      <c r="F30" s="437" t="s">
        <v>252</v>
      </c>
      <c r="G30" s="437"/>
      <c r="H30" s="437"/>
      <c r="I30" s="437"/>
      <c r="J30" s="437"/>
      <c r="K30" s="282"/>
      <c r="L30" s="240" t="s">
        <v>17</v>
      </c>
      <c r="M30" s="49"/>
      <c r="N30" s="49"/>
      <c r="O30" s="287">
        <f>IF($K$12="Wensum",($K30*(IF($K$13="Freely draining",IF($K$14="550-575",IF($K$15="Yes",'Data Tables'!S8,'Data Tables'!T8),IF($K$14="575-600",IF($K$15="Yes",'Data Tables'!S8,'Data Tables'!T8),IF($K$14="600-625",IF($K$15="Yes",'Data Tables'!Y8,'Data Tables'!Z8),IF($K$14="625-650",IF($K$15="Yes",'Data Tables'!Y8,'Data Tables'!Z8),IF($K$14="650-675",IF($K$15="Yes",'Data Tables'!Y8,'Data Tables'!Z8),IF($K$14="675-700",IF($K$15="Yes",'Data Tables'!Y8,'Data Tables'!Z8),IF($K$14="700-750",IF($K$15="Yes",'Data Tables'!AE8,'Data Tables'!AF8),IF($K$14="750-800",IF($K$15="Yes",'Data Tables'!AE8,'Data Tables'!AF8),IF($K$14="800-850",IF($K$15="Yes",'Data Tables'!AE8,'Data Tables'!AF8),IF($K$15="Yes",'Data Tables'!Y8,'Data Tables'!Z8)))))))))),IF($K$13="Impermeable - drained for arable",IF($K$14="550-575",IF($K$15="Yes",'Data Tables'!U8,'Data Tables'!V8),IF($K$14="575-600",IF($K$15="Yes",'Data Tables'!U8,'Data Tables'!V8),IF($K$14="600-625",IF($K$15="Yes",'Data Tables'!AA8,'Data Tables'!AB8),IF($K$14="625-650",IF($K$15="Yes",'Data Tables'!AA8,'Data Tables'!AB8),IF($K$14="650-675",IF($K$15="Yes",'Data Tables'!AA8,'Data Tables'!AB8),IF($K$14="675-700",IF($K$15="Yes",'Data Tables'!AA8,'Data Tables'!AB8),IF($K$14="700-750",IF($K$15="Yes",'Data Tables'!AG8,'Data Tables'!AH8),IF($K$14="750-800",IF($K$15="Yes",'Data Tables'!AG8,'Data Tables'!AH8),IF($K$14="800-850",IF($K$15="Yes",'Data Tables'!AG8,'Data Tables'!AH8),IF($K$15="Yes",'Data Tables'!AG8,'Data Tables'!AH8)))))))))),IF($K$14="550-575",IF($K$15="Yes",'Data Tables'!W8,'Data Tables'!X8),IF($K$14="575-600",IF($K$15="Yes",'Data Tables'!W8,'Data Tables'!X8),IF($K$14="600-625",IF($K$15="Yes",'Data Tables'!AC8,'Data Tables'!AD8),IF($K$14="625-650",IF($K$15="Yes",'Data Tables'!AC8,'Data Tables'!AD8),IF($K$14="650-675",IF($K$15="Yes",'Data Tables'!AC8,'Data Tables'!AD8),IF($K$14="675-700",IF($K$15="Yes",'Data Tables'!AC8,'Data Tables'!AD8),IF($K$14="700-750",IF($K$15="Yes",'Data Tables'!AI8,'Data Tables'!AJ8),IF($K$14="750-800",IF($K$15="Yes",'Data Tables'!AI8,'Data Tables'!AJ8),IF($K$14="800-850",IF($K$15="Yes",'Data Tables'!AI8,'Data Tables'!AJ8),IF($K$15="Yes",'Data Tables'!AI8,'Data Tables'!AJ8)))))))))))))),IF($K$12="Yare",($K30*(IF($K$13="Freely draining",IF($K$14="550-575",IF($K$15="Yes",'Data Tables'!S19,'Data Tables'!T19),IF($K$14="575-600",IF($K$15="Yes",'Data Tables'!S19,'Data Tables'!T19),IF($K$14="600-625",IF($K$15="Yes",'Data Tables'!Y19,'Data Tables'!Z19),IF($K$14="625-650",IF($K$15="Yes",'Data Tables'!Y19,'Data Tables'!Z19),IF($K$14="650-675",IF($K$15="Yes",'Data Tables'!Y19,'Data Tables'!Z19),IF($K$14="675-700",IF($K$15="Yes",'Data Tables'!Y19,'Data Tables'!Z19),IF($K$14="700-750",IF($K$15="Yes",'Data Tables'!AE19,'Data Tables'!AF19),IF($K$14="750-800",IF($K$15="Yes",'Data Tables'!AE19,'Data Tables'!AF19),IF($K$14="800-850",IF($K$15="Yes",'Data Tables'!AE19,'Data Tables'!AF19),IF($K$15="Yes",'Data Tables'!AE19,'Data Tables'!AF19)))))))))),IF($K$13="Impermeable - drained for arable",IF($K$14="550-575",IF($K$15="Yes",'Data Tables'!U19,'Data Tables'!V19),IF($K$14="575-600",IF($K$15="Yes",'Data Tables'!U19,'Data Tables'!V19),IF($K$14="600-625",IF($K$15="Yes",'Data Tables'!AA19,'Data Tables'!AB19),IF($K$14="625-650",IF($K$15="Yes",'Data Tables'!AA19,'Data Tables'!AB19),IF($K$14="650-675",IF($K$15="Yes",'Data Tables'!AA19,'Data Tables'!AB19),IF($K$14="675-700",IF($K$15="Yes",'Data Tables'!AA19,'Data Tables'!AB19),IF($K$14="700-750",IF($K$15="Yes",'Data Tables'!AG19,'Data Tables'!AH19),IF($K$14="750-800",IF($K$15="Yes",'Data Tables'!AG19,'Data Tables'!AH19),IF($K$14="800-850",IF($K$15="Yes",'Data Tables'!AG19,'Data Tables'!AH19),IF($K$15="Yes",'Data Tables'!AG19,'Data Tables'!AH19)))))))))),IF($K$14="550-575",IF($K$15="Yes",'Data Tables'!W19,'Data Tables'!X19),IF($K$14="575-600",IF($K$15="Yes",'Data Tables'!W19,'Data Tables'!X19),IF($K$14="600-625",IF($K$15="Yes",'Data Tables'!AC19,'Data Tables'!AD19),IF($K$14="625-650",IF($K$15="Yes",'Data Tables'!AC19,'Data Tables'!AD19),IF($K$14="650-675",IF($K$15="Yes",'Data Tables'!AC19,'Data Tables'!AD19),IF($K$14="675-700",IF($K$15="Yes",'Data Tables'!AC19,'Data Tables'!AD19),IF($K$14="700-750",IF($K$15="Yes",'Data Tables'!AI19,'Data Tables'!AJ19),IF($K$14="750-800",IF($K$15="Yes",'Data Tables'!AI19,'Data Tables'!AJ19),IF($K$14="800-850",IF($K$15="Yes",'Data Tables'!AI19,'Data Tables'!AJ19),IF($K$15="Yes",'Data Tables'!AI19,'Data Tables'!AJ19)))))))))))))),($K30*(IF($K$13="Freely draining",IF($K$14="550-575",IF($K$15="Yes",'Data Tables'!S30,'Data Tables'!T30),IF($K$14="575-600",IF($K$15="Yes",'Data Tables'!S30,'Data Tables'!T30),IF($K$14="600-625",IF($K$15="Yes",'Data Tables'!Y30,'Data Tables'!Z30),IF($K$14="625-650",IF($K$15="Yes",'Data Tables'!Y30,'Data Tables'!Z30),IF($K$14="650-675",IF($K$15="Yes",'Data Tables'!Y30,'Data Tables'!Z30),IF($K$14="675-700",IF($K$15="Yes",'Data Tables'!Y30,'Data Tables'!Z30),IF($K$14="700-750",IF($K$15="Yes",'Data Tables'!AE30,'Data Tables'!AF30),IF($K$14="750-800",IF($K$15="Yes",'Data Tables'!AE30,'Data Tables'!AF30),IF($K$14="800-850",IF($K$15="Yes",'Data Tables'!AE30,'Data Tables'!AF30),IF($K$15="Yes",'Data Tables'!AE30,'Data Tables'!AF30)))))))))),IF($K$13="Impermeable - drained for arable",IF($K$14="550-575",IF($K$15="Yes",'Data Tables'!U30,'Data Tables'!V30),IF($K$14="575-600",IF($K$15="Yes",'Data Tables'!U30,'Data Tables'!V30),IF($K$14="600-625",IF($K$15="Yes",'Data Tables'!AA30,'Data Tables'!AB30),IF($K$14="625-650",IF($K$15="Yes",'Data Tables'!AA30,'Data Tables'!AB30),IF($K$14="650-675",IF($K$15="Yes",'Data Tables'!AA30,'Data Tables'!AB30),IF($K$14="675-700",IF($K$15="Yes",'Data Tables'!AA30,'Data Tables'!AB30),IF($K$14="700-750",IF($K$15="Yes",'Data Tables'!AG30,'Data Tables'!AH30),IF($K$14="750-800",IF($K$15="Yes",'Data Tables'!AG30,'Data Tables'!AH30),IF($K$14="800-850",IF($K$15="Yes",'Data Tables'!AG30,'Data Tables'!AH30),IF($K$15="Yes",'Data Tables'!AG30,'Data Tables'!AH30)))))))))),IF($K$14="550-575",IF($K$15="Yes",'Data Tables'!W30,'Data Tables'!X30),IF($K$14="575-600",IF($K$15="Yes",'Data Tables'!W30,'Data Tables'!X30),IF($K$14="600-625",IF($K$15="Yes",'Data Tables'!AC30,'Data Tables'!AD30),IF($K$14="625-650",IF($K$15="Yes",'Data Tables'!AC30,'Data Tables'!AD30),IF($K$14="650-675",IF($K$15="Yes",'Data Tables'!AC30,'Data Tables'!AD30),IF($K$14="675-700",IF($K$15="Yes",'Data Tables'!AC30,'Data Tables'!AD30),IF($K$14="700-750",IF($K$15="Yes",'Data Tables'!AI30,'Data Tables'!AJ30),IF($K$14="750-800",IF($K$15="Yes",'Data Tables'!AI30,'Data Tables'!AJ30),IF($K$14="800-850",IF($K$15="Yes",'Data Tables'!AI30,'Data Tables'!AJ30),IF($K$15="Yes",'Data Tables'!AI30,'Data Tables'!AJ30))))))))))))))))</f>
        <v>0</v>
      </c>
      <c r="P30" s="284"/>
      <c r="Q30" s="287">
        <f>IF($K$12="Wensum",($K30*(IF($K$13="Freely draining",IF($K$14="550-575",IF($K$15="Yes",'Data Tables'!AM8,'Data Tables'!AN8),IF($K$14="575-600",IF($K$15="Yes",'Data Tables'!AM8,'Data Tables'!AN8),IF($K$14="600-625",IF($K$15="Yes",'Data Tables'!AS8,'Data Tables'!AT8),IF($K$14="625-650",IF($K$15="Yes",'Data Tables'!AS8,'Data Tables'!AT8),IF($K$14="650-675",IF($K$15="Yes",'Data Tables'!AS8,'Data Tables'!AT8),IF($K$14="675-700",IF($K$15="Yes",'Data Tables'!AS8,'Data Tables'!AT8),IF($K$14="700-750",IF($K$15="Yes",'Data Tables'!AY8,'Data Tables'!AZ8),IF($K$14="750-800",IF($K$15="Yes",'Data Tables'!AY8,'Data Tables'!AZ8),IF($K$14="800-850",IF($K$15="Yes",'Data Tables'!AY8,'Data Tables'!AZ8),IF($K$15="Yes",'Data Tables'!AS8,'Data Tables'!AT8)))))))))),IF($K$13="Impermeable - drained for arable",IF($K$14="550-575",IF($K$15="Yes",'Data Tables'!AO8,'Data Tables'!AP8),IF($K$14="575-600",IF($K$15="Yes",'Data Tables'!AO8,'Data Tables'!AP8),IF($K$14="600-625",IF($K$15="Yes",'Data Tables'!AU8,'Data Tables'!AV8),IF($K$14="625-650",IF($K$15="Yes",'Data Tables'!AU8,'Data Tables'!AV8),IF($K$14="650-675",IF($K$15="Yes",'Data Tables'!AU8,'Data Tables'!AV8),IF($K$14="675-700",IF($K$15="Yes",'Data Tables'!AU8,'Data Tables'!AV8),IF($K$14="700-750",IF($K$15="Yes",'Data Tables'!BA8,'Data Tables'!BB8),IF($K$14="750-800",IF($K$15="Yes",'Data Tables'!BA8,'Data Tables'!BB8),IF($K$14="800-850",IF($K$15="Yes",'Data Tables'!BA8,'Data Tables'!BB8),IF($K$15="Yes",'Data Tables'!BA8,'Data Tables'!BB8)))))))))),IF($K$14="550-575",IF($K$15="Yes",'Data Tables'!AQ8,'Data Tables'!AR8),IF($K$14="575-600",IF($K$15="Yes",'Data Tables'!AQ8,'Data Tables'!AR8),IF($K$14="600-625",IF($K$15="Yes",'Data Tables'!AW8,'Data Tables'!AX8),IF($K$14="625-650",IF($K$15="Yes",'Data Tables'!AW8,'Data Tables'!AX8),IF($K$14="650-675",IF($K$15="Yes",'Data Tables'!AW8,'Data Tables'!AX8),IF($K$14="675-700",IF($K$15="Yes",'Data Tables'!AW8,'Data Tables'!AX8),IF($K$14="700-750",IF($K$15="Yes",'Data Tables'!BC8,'Data Tables'!BD8),IF($K$14="750-800",IF($K$15="Yes",'Data Tables'!BC8,'Data Tables'!BD8),IF($K$14="800-850",IF($K$15="Yes",'Data Tables'!BC8,'Data Tables'!BD8),IF($K$15="Yes",'Data Tables'!BC8,'Data Tables'!BD8)))))))))))))),IF($K$12="Yare",($K30*(IF($K$13="Freely draining",IF($K$14="550-575",IF($K$15="Yes",'Data Tables'!AM19,'Data Tables'!AN19),IF($K$14="575-600",IF($K$15="Yes",'Data Tables'!AM19,'Data Tables'!AN19),IF($K$14="600-625",IF($K$15="Yes",'Data Tables'!AS19,'Data Tables'!AT19),IF($K$14="625-650",IF($K$15="Yes",'Data Tables'!AS19,'Data Tables'!AT19),IF($K$14="650-675",IF($K$15="Yes",'Data Tables'!AS19,'Data Tables'!AT19),IF($K$14="675-700",IF($K$15="Yes",'Data Tables'!AS19,'Data Tables'!AT19),IF($K$14="700-750",IF($K$15="Yes",'Data Tables'!AY19,'Data Tables'!AZ19),IF($K$14="750-800",IF($K$15="Yes",'Data Tables'!AY19,'Data Tables'!AZ19),IF($K$14="800-850",IF($K$15="Yes",'Data Tables'!AY19,'Data Tables'!AZ19),IF($K$15="Yes",'Data Tables'!AY19,'Data Tables'!AZ19)))))))))),IF($K$13="Impermeable - drained for arable",IF($K$14="550-575",IF($K$15="Yes",'Data Tables'!AO19,'Data Tables'!AP19),IF($K$14="575-600",IF($K$15="Yes",'Data Tables'!AO19,'Data Tables'!AP19),IF($K$14="600-625",IF($K$15="Yes",'Data Tables'!AU19,'Data Tables'!AV19),IF($K$14="625-650",IF($K$15="Yes",'Data Tables'!AU19,'Data Tables'!AV19),IF($K$14="650-675",IF($K$15="Yes",'Data Tables'!AU19,'Data Tables'!AV19),IF($K$14="675-700",IF($K$15="Yes",'Data Tables'!AU19,'Data Tables'!AV19),IF($K$14="700-750",IF($K$15="Yes",'Data Tables'!BA19,'Data Tables'!BB19),IF($K$14="750-800",IF($K$15="Yes",'Data Tables'!BA19,'Data Tables'!BB19),IF($K$14="800-850",IF($K$15="Yes",'Data Tables'!BA19,'Data Tables'!BB19),IF($K$15="Yes",'Data Tables'!BA19,'Data Tables'!BB19)))))))))),IF($K$14="550-575",IF($K$15="Yes",'Data Tables'!AQ19,'Data Tables'!AR19),IF($K$14="575-600",IF($K$15="Yes",'Data Tables'!AQ19,'Data Tables'!AR19),IF($K$14="600-625",IF($K$15="Yes",'Data Tables'!AW19,'Data Tables'!AX19),IF($K$14="625-650",IF($K$15="Yes",'Data Tables'!AW19,'Data Tables'!AX19),IF($K$14="650-675",IF($K$15="Yes",'Data Tables'!AW19,'Data Tables'!AX19),IF($K$14="675-700",IF($K$15="Yes",'Data Tables'!AW19,'Data Tables'!AX19),IF($K$14="700-750",IF($K$15="Yes",'Data Tables'!BC19,'Data Tables'!BD19),IF($K$14="750-800",IF($K$15="Yes",'Data Tables'!BC19,'Data Tables'!BD19),IF($K$14="800-850",IF($K$15="Yes",'Data Tables'!BC19,'Data Tables'!BD19),IF($K$15="Yes",'Data Tables'!BC19,'Data Tables'!BD19)))))))))))))),($K30*(IF($K$13="Freely draining",IF($K$14="550-575",IF($K$15="Yes",'Data Tables'!AM30,'Data Tables'!AN30),IF($K$14="575-600",IF($K$15="Yes",'Data Tables'!AM30,'Data Tables'!AN30),IF($K$14="600-625",IF($K$15="Yes",'Data Tables'!AS30,'Data Tables'!AT30),IF($K$14="625-650",IF($K$15="Yes",'Data Tables'!AS30,'Data Tables'!AT30),IF($K$14="650-675",IF($K$15="Yes",'Data Tables'!AS30,'Data Tables'!AT30),IF($K$14="675-700",IF($K$15="Yes",'Data Tables'!AS30,'Data Tables'!AT30),IF($K$14="700-750",IF($K$15="Yes",'Data Tables'!AY30,'Data Tables'!AZ30),IF($K$14="750-800",IF($K$15="Yes",'Data Tables'!AY30,'Data Tables'!AZ30),IF($K$14="800-850",IF($K$15="Yes",'Data Tables'!AY30,'Data Tables'!AZ30),IF($K$15="Yes",'Data Tables'!AY30,'Data Tables'!AZ30)))))))))),IF($K$13="Impermeable - drained for arable",IF($K$14="550-575",IF($K$15="Yes",'Data Tables'!AO30,'Data Tables'!AP30),IF($K$14="575-600",IF($K$15="Yes",'Data Tables'!AO30,'Data Tables'!AP30),IF($K$14="600-625",IF($K$15="Yes",'Data Tables'!AU30,'Data Tables'!AV30),IF($K$14="625-650",IF($K$15="Yes",'Data Tables'!AU30,'Data Tables'!AV30),IF($K$14="650-675",IF($K$15="Yes",'Data Tables'!AU30,'Data Tables'!AV30),IF($K$14="675-700",IF($K$15="Yes",'Data Tables'!AU30,'Data Tables'!AV30),IF($K$14="700-750",IF($K$15="Yes",'Data Tables'!BA30,'Data Tables'!BB30),IF($K$14="750-800",IF($K$15="Yes",'Data Tables'!BA30,'Data Tables'!BB30),IF($K$14="800-850",IF($K$15="Yes",'Data Tables'!BA30,'Data Tables'!BB30),IF($K$15="Yes",'Data Tables'!BA30,'Data Tables'!BB30)))))))))),IF($K$14="550-575",IF($K$15="Yes",'Data Tables'!AQ30,'Data Tables'!AR30),IF($K$14="575-600",IF($K$15="Yes",'Data Tables'!AQ30,'Data Tables'!AR30),IF($K$14="600-625",IF($K$15="Yes",'Data Tables'!AW30,'Data Tables'!AX30),IF($K$14="625-650",IF($K$15="Yes",'Data Tables'!AW30,'Data Tables'!AX30),IF($K$14="650-675",IF($K$15="Yes",'Data Tables'!AW30,'Data Tables'!AX30),IF($K$14="675-700",IF($K$15="Yes",'Data Tables'!AW30,'Data Tables'!AX30),IF($K$14="700-750",IF($K$15="Yes",'Data Tables'!BC30,'Data Tables'!BD30),IF($K$14="750-800",IF($K$15="Yes",'Data Tables'!BC30,'Data Tables'!BD30),IF($K$14="800-850",IF($K$15="Yes",'Data Tables'!BC30,'Data Tables'!BD30),IF($K$15="Yes",'Data Tables'!BC30,'Data Tables'!BD30))))))))))))))))</f>
        <v>0</v>
      </c>
      <c r="R30" s="288"/>
      <c r="S30" s="49" t="s">
        <v>398</v>
      </c>
      <c r="T30" s="6"/>
      <c r="W30" s="113"/>
      <c r="X30" s="113"/>
      <c r="Y30" s="113"/>
      <c r="Z30" s="113"/>
      <c r="AA30" s="113"/>
      <c r="AB30" s="113"/>
      <c r="AC30" s="113"/>
      <c r="AD30" s="113"/>
      <c r="AE30" s="113"/>
      <c r="AF30" s="113"/>
      <c r="AG30" s="113"/>
      <c r="AH30" s="113"/>
      <c r="AI30" s="113"/>
      <c r="AJ30" s="113"/>
      <c r="AK30" s="113"/>
      <c r="AL30" s="113"/>
      <c r="AM30" s="113"/>
      <c r="AN30" s="113"/>
      <c r="AO30" s="113"/>
      <c r="AQ30" s="113"/>
      <c r="AR30" s="113"/>
      <c r="AS30" s="113"/>
      <c r="AT30" s="113"/>
      <c r="AU30" s="113"/>
      <c r="AV30" s="113"/>
      <c r="AW30" s="113"/>
      <c r="AX30" s="113"/>
      <c r="AY30" s="113"/>
      <c r="AZ30" s="113"/>
      <c r="BA30" s="113"/>
      <c r="BB30" s="113"/>
      <c r="BC30" s="113"/>
    </row>
    <row r="31" spans="2:55" ht="14.45" customHeight="1" x14ac:dyDescent="0.25">
      <c r="B31" s="4"/>
      <c r="C31" s="42"/>
      <c r="D31" s="227"/>
      <c r="E31" s="49"/>
      <c r="F31" s="437" t="s">
        <v>386</v>
      </c>
      <c r="G31" s="437"/>
      <c r="H31" s="437"/>
      <c r="I31" s="437"/>
      <c r="J31" s="437"/>
      <c r="K31" s="282"/>
      <c r="L31" s="240" t="s">
        <v>17</v>
      </c>
      <c r="M31" s="49"/>
      <c r="N31" s="49"/>
      <c r="O31" s="287">
        <f>IF($K$12="Wensum",($K31*(IF($K$13="Freely draining",IF($K$14="550-575",IF($K$15="Yes",'Data Tables'!S9,'Data Tables'!T9),IF($K$14="575-600",IF($K$15="Yes",'Data Tables'!S9,'Data Tables'!T9),IF($K$14="600-625",IF($K$15="Yes",'Data Tables'!Y9,'Data Tables'!Z9),IF($K$14="625-650",IF($K$15="Yes",'Data Tables'!Y9,'Data Tables'!Z9),IF($K$14="650-675",IF($K$15="Yes",'Data Tables'!Y9,'Data Tables'!Z9),IF($K$14="675-700",IF($K$15="Yes",'Data Tables'!Y9,'Data Tables'!Z9),IF($K$14="700-750",IF($K$15="Yes",'Data Tables'!AE9,'Data Tables'!AF9),IF($K$14="750-800",IF($K$15="Yes",'Data Tables'!AE9,'Data Tables'!AF9),IF($K$14="800-850",IF($K$15="Yes",'Data Tables'!AE9,'Data Tables'!AF9),IF($K$15="Yes",'Data Tables'!Y9,'Data Tables'!Z9)))))))))),IF($K$13="Impermeable - drained for arable",IF($K$14="550-575",IF($K$15="Yes",'Data Tables'!U9,'Data Tables'!V9),IF($K$14="575-600",IF($K$15="Yes",'Data Tables'!U9,'Data Tables'!V9),IF($K$14="600-625",IF($K$15="Yes",'Data Tables'!AA9,'Data Tables'!AB9),IF($K$14="625-650",IF($K$15="Yes",'Data Tables'!AA9,'Data Tables'!AB9),IF($K$14="650-675",IF($K$15="Yes",'Data Tables'!AA9,'Data Tables'!AB9),IF($K$14="675-700",IF($K$15="Yes",'Data Tables'!AA9,'Data Tables'!AB9),IF($K$14="700-750",IF($K$15="Yes",'Data Tables'!AG9,'Data Tables'!AH9),IF($K$14="750-800",IF($K$15="Yes",'Data Tables'!AG9,'Data Tables'!AH9),IF($K$14="800-850",IF($K$15="Yes",'Data Tables'!AG9,'Data Tables'!AH9),IF($K$15="Yes",'Data Tables'!AG9,'Data Tables'!AH9)))))))))),IF($K$14="550-575",IF($K$15="Yes",'Data Tables'!W9,'Data Tables'!X9),IF($K$14="575-600",IF($K$15="Yes",'Data Tables'!W9,'Data Tables'!X9),IF($K$14="600-625",IF($K$15="Yes",'Data Tables'!AC9,'Data Tables'!AD9),IF($K$14="625-650",IF($K$15="Yes",'Data Tables'!AC9,'Data Tables'!AD9),IF($K$14="650-675",IF($K$15="Yes",'Data Tables'!AC9,'Data Tables'!AD9),IF($K$14="675-700",IF($K$15="Yes",'Data Tables'!AC9,'Data Tables'!AD9),IF($K$14="700-750",IF($K$15="Yes",'Data Tables'!AI9,'Data Tables'!AJ9),IF($K$14="750-800",IF($K$15="Yes",'Data Tables'!AI9,'Data Tables'!AJ9),IF($K$14="800-850",IF($K$15="Yes",'Data Tables'!AI9,'Data Tables'!AJ9),IF($K$15="Yes",'Data Tables'!AI9,'Data Tables'!AJ9)))))))))))))),IF($K$12="Yare",($K31*(IF($K$13="Freely draining",IF($K$14="550-575",IF($K$15="Yes",'Data Tables'!S20,'Data Tables'!T20),IF($K$14="575-600",IF($K$15="Yes",'Data Tables'!S20,'Data Tables'!T20),IF($K$14="600-625",IF($K$15="Yes",'Data Tables'!Y20,'Data Tables'!Z20),IF($K$14="625-650",IF($K$15="Yes",'Data Tables'!Y20,'Data Tables'!Z20),IF($K$14="650-675",IF($K$15="Yes",'Data Tables'!Y20,'Data Tables'!Z20),IF($K$14="675-700",IF($K$15="Yes",'Data Tables'!Y20,'Data Tables'!Z20),IF($K$14="700-750",IF($K$15="Yes",'Data Tables'!AE20,'Data Tables'!AF20),IF($K$14="750-800",IF($K$15="Yes",'Data Tables'!AE20,'Data Tables'!AF20),IF($K$14="800-850",IF($K$15="Yes",'Data Tables'!AE20,'Data Tables'!AF20),IF($K$15="Yes",'Data Tables'!AE20,'Data Tables'!AF20)))))))))),IF($K$13="Impermeable - drained for arable",IF($K$14="550-575",IF($K$15="Yes",'Data Tables'!U20,'Data Tables'!V20),IF($K$14="575-600",IF($K$15="Yes",'Data Tables'!U20,'Data Tables'!V20),IF($K$14="600-625",IF($K$15="Yes",'Data Tables'!AA20,'Data Tables'!AB20),IF($K$14="625-650",IF($K$15="Yes",'Data Tables'!AA20,'Data Tables'!AB20),IF($K$14="650-675",IF($K$15="Yes",'Data Tables'!AA20,'Data Tables'!AB20),IF($K$14="675-700",IF($K$15="Yes",'Data Tables'!AA20,'Data Tables'!AB20),IF($K$14="700-750",IF($K$15="Yes",'Data Tables'!AG20,'Data Tables'!AH20),IF($K$14="750-800",IF($K$15="Yes",'Data Tables'!AG20,'Data Tables'!AH20),IF($K$14="800-850",IF($K$15="Yes",'Data Tables'!AG20,'Data Tables'!AH20),IF($K$15="Yes",'Data Tables'!AG20,'Data Tables'!AH20)))))))))),IF($K$14="550-575",IF($K$15="Yes",'Data Tables'!W20,'Data Tables'!X20),IF($K$14="575-600",IF($K$15="Yes",'Data Tables'!W20,'Data Tables'!X20),IF($K$14="600-625",IF($K$15="Yes",'Data Tables'!AC20,'Data Tables'!AD20),IF($K$14="625-650",IF($K$15="Yes",'Data Tables'!AC20,'Data Tables'!AD20),IF($K$14="650-675",IF($K$15="Yes",'Data Tables'!AC20,'Data Tables'!AD20),IF($K$14="675-700",IF($K$15="Yes",'Data Tables'!AC20,'Data Tables'!AD20),IF($K$14="700-750",IF($K$15="Yes",'Data Tables'!AI20,'Data Tables'!AJ20),IF($K$14="750-800",IF($K$15="Yes",'Data Tables'!AI20,'Data Tables'!AJ20),IF($K$14="800-850",IF($K$15="Yes",'Data Tables'!AI20,'Data Tables'!AJ20),IF($K$15="Yes",'Data Tables'!AI20,'Data Tables'!AJ20)))))))))))))),($K31*(IF($K$13="Freely draining",IF($K$14="550-575",IF($K$15="Yes",'Data Tables'!S31,'Data Tables'!T31),IF($K$14="575-600",IF($K$15="Yes",'Data Tables'!S31,'Data Tables'!T31),IF($K$14="600-625",IF($K$15="Yes",'Data Tables'!Y31,'Data Tables'!Z31),IF($K$14="625-650",IF($K$15="Yes",'Data Tables'!Y31,'Data Tables'!Z31),IF($K$14="650-675",IF($K$15="Yes",'Data Tables'!Y31,'Data Tables'!Z31),IF($K$14="675-700",IF($K$15="Yes",'Data Tables'!Y31,'Data Tables'!Z31),IF($K$14="700-750",IF($K$15="Yes",'Data Tables'!AE31,'Data Tables'!AF31),IF($K$14="750-800",IF($K$15="Yes",'Data Tables'!AE31,'Data Tables'!AF31),IF($K$14="800-850",IF($K$15="Yes",'Data Tables'!AE31,'Data Tables'!AF31),IF($K$15="Yes",'Data Tables'!AE31,'Data Tables'!AF31)))))))))),IF($K$13="Impermeable - drained for arable",IF($K$14="550-575",IF($K$15="Yes",'Data Tables'!U31,'Data Tables'!V31),IF($K$14="575-600",IF($K$15="Yes",'Data Tables'!U31,'Data Tables'!V31),IF($K$14="600-625",IF($K$15="Yes",'Data Tables'!AA31,'Data Tables'!AB31),IF($K$14="625-650",IF($K$15="Yes",'Data Tables'!AA31,'Data Tables'!AB31),IF($K$14="650-675",IF($K$15="Yes",'Data Tables'!AA31,'Data Tables'!AB31),IF($K$14="675-700",IF($K$15="Yes",'Data Tables'!AA31,'Data Tables'!AB31),IF($K$14="700-750",IF($K$15="Yes",'Data Tables'!AG31,'Data Tables'!AH31),IF($K$14="750-800",IF($K$15="Yes",'Data Tables'!AG31,'Data Tables'!AH31),IF($K$14="800-850",IF($K$15="Yes",'Data Tables'!AG31,'Data Tables'!AH31),IF($K$15="Yes",'Data Tables'!AG31,'Data Tables'!AH31)))))))))),IF($K$14="550-575",IF($K$15="Yes",'Data Tables'!W31,'Data Tables'!X31),IF($K$14="575-600",IF($K$15="Yes",'Data Tables'!W31,'Data Tables'!X31),IF($K$14="600-625",IF($K$15="Yes",'Data Tables'!AC31,'Data Tables'!AD31),IF($K$14="625-650",IF($K$15="Yes",'Data Tables'!AC31,'Data Tables'!AD31),IF($K$14="650-675",IF($K$15="Yes",'Data Tables'!AC31,'Data Tables'!AD31),IF($K$14="675-700",IF($K$15="Yes",'Data Tables'!AC31,'Data Tables'!AD31),IF($K$14="700-750",IF($K$15="Yes",'Data Tables'!AI31,'Data Tables'!AJ31),IF($K$14="750-800",IF($K$15="Yes",'Data Tables'!AI31,'Data Tables'!AJ31),IF($K$14="800-850",IF($K$15="Yes",'Data Tables'!AI31,'Data Tables'!AJ31),IF($K$15="Yes",'Data Tables'!AI31,'Data Tables'!AJ31))))))))))))))))</f>
        <v>0</v>
      </c>
      <c r="P31" s="284"/>
      <c r="Q31" s="287">
        <f>IF($K$12="Wensum",($K31*(IF($K$13="Freely draining",IF($K$14="550-575",IF($K$15="Yes",'Data Tables'!AM9,'Data Tables'!AN9),IF($K$14="575-600",IF($K$15="Yes",'Data Tables'!AM9,'Data Tables'!AN9),IF($K$14="600-625",IF($K$15="Yes",'Data Tables'!AS9,'Data Tables'!AT9),IF($K$14="625-650",IF($K$15="Yes",'Data Tables'!AS9,'Data Tables'!AT9),IF($K$14="650-675",IF($K$15="Yes",'Data Tables'!AS9,'Data Tables'!AT9),IF($K$14="675-700",IF($K$15="Yes",'Data Tables'!AS9,'Data Tables'!AT9),IF($K$14="700-750",IF($K$15="Yes",'Data Tables'!AY9,'Data Tables'!AZ9),IF($K$14="750-800",IF($K$15="Yes",'Data Tables'!AY9,'Data Tables'!AZ9),IF($K$14="800-850",IF($K$15="Yes",'Data Tables'!AY9,'Data Tables'!AZ9),IF($K$15="Yes",'Data Tables'!AS9,'Data Tables'!AT9)))))))))),IF($K$13="Impermeable - drained for arable",IF($K$14="550-575",IF($K$15="Yes",'Data Tables'!AO9,'Data Tables'!AP9),IF($K$14="575-600",IF($K$15="Yes",'Data Tables'!AO9,'Data Tables'!AP9),IF($K$14="600-625",IF($K$15="Yes",'Data Tables'!AU9,'Data Tables'!AV9),IF($K$14="625-650",IF($K$15="Yes",'Data Tables'!AU9,'Data Tables'!AV9),IF($K$14="650-675",IF($K$15="Yes",'Data Tables'!AU9,'Data Tables'!AV9),IF($K$14="675-700",IF($K$15="Yes",'Data Tables'!AU9,'Data Tables'!AV9),IF($K$14="700-750",IF($K$15="Yes",'Data Tables'!BA9,'Data Tables'!BB9),IF($K$14="750-800",IF($K$15="Yes",'Data Tables'!BA9,'Data Tables'!BB9),IF($K$14="800-850",IF($K$15="Yes",'Data Tables'!BA9,'Data Tables'!BB9),IF($K$15="Yes",'Data Tables'!BA9,'Data Tables'!BB9)))))))))),IF($K$14="550-575",IF($K$15="Yes",'Data Tables'!AQ9,'Data Tables'!AR9),IF($K$14="575-600",IF($K$15="Yes",'Data Tables'!AQ9,'Data Tables'!AR9),IF($K$14="600-625",IF($K$15="Yes",'Data Tables'!AW9,'Data Tables'!AX9),IF($K$14="625-650",IF($K$15="Yes",'Data Tables'!AW9,'Data Tables'!AX9),IF($K$14="650-675",IF($K$15="Yes",'Data Tables'!AW9,'Data Tables'!AX9),IF($K$14="675-700",IF($K$15="Yes",'Data Tables'!AW9,'Data Tables'!AX9),IF($K$14="700-750",IF($K$15="Yes",'Data Tables'!BC9,'Data Tables'!BD9),IF($K$14="750-800",IF($K$15="Yes",'Data Tables'!BC9,'Data Tables'!BD9),IF($K$14="800-850",IF($K$15="Yes",'Data Tables'!BC9,'Data Tables'!BD9),IF($K$15="Yes",'Data Tables'!BC9,'Data Tables'!BD9)))))))))))))),IF($K$12="Yare",($K31*(IF($K$13="Freely draining",IF($K$14="550-575",IF($K$15="Yes",'Data Tables'!AM20,'Data Tables'!AN20),IF($K$14="575-600",IF($K$15="Yes",'Data Tables'!AM20,'Data Tables'!AN20),IF($K$14="600-625",IF($K$15="Yes",'Data Tables'!AS20,'Data Tables'!AT20),IF($K$14="625-650",IF($K$15="Yes",'Data Tables'!AS20,'Data Tables'!AT20),IF($K$14="650-675",IF($K$15="Yes",'Data Tables'!AS20,'Data Tables'!AT20),IF($K$14="675-700",IF($K$15="Yes",'Data Tables'!AS20,'Data Tables'!AT20),IF($K$14="700-750",IF($K$15="Yes",'Data Tables'!AY20,'Data Tables'!AZ20),IF($K$14="750-800",IF($K$15="Yes",'Data Tables'!AY20,'Data Tables'!AZ20),IF($K$14="800-850",IF($K$15="Yes",'Data Tables'!AY20,'Data Tables'!AZ20),IF($K$15="Yes",'Data Tables'!AY20,'Data Tables'!AZ20)))))))))),IF($K$13="Impermeable - drained for arable",IF($K$14="550-575",IF($K$15="Yes",'Data Tables'!AO20,'Data Tables'!AP20),IF($K$14="575-600",IF($K$15="Yes",'Data Tables'!AO20,'Data Tables'!AP20),IF($K$14="600-625",IF($K$15="Yes",'Data Tables'!AU20,'Data Tables'!AV20),IF($K$14="625-650",IF($K$15="Yes",'Data Tables'!AU20,'Data Tables'!AV20),IF($K$14="650-675",IF($K$15="Yes",'Data Tables'!AU20,'Data Tables'!AV20),IF($K$14="675-700",IF($K$15="Yes",'Data Tables'!AU20,'Data Tables'!AV20),IF($K$14="700-750",IF($K$15="Yes",'Data Tables'!BA20,'Data Tables'!BB20),IF($K$14="750-800",IF($K$15="Yes",'Data Tables'!BA20,'Data Tables'!BB20),IF($K$14="800-850",IF($K$15="Yes",'Data Tables'!BA20,'Data Tables'!BB20),IF($K$15="Yes",'Data Tables'!BA20,'Data Tables'!BB20)))))))))),IF($K$14="550-575",IF($K$15="Yes",'Data Tables'!AQ20,'Data Tables'!AR20),IF($K$14="575-600",IF($K$15="Yes",'Data Tables'!AQ20,'Data Tables'!AR20),IF($K$14="600-625",IF($K$15="Yes",'Data Tables'!AW20,'Data Tables'!AX20),IF($K$14="625-650",IF($K$15="Yes",'Data Tables'!AW20,'Data Tables'!AX20),IF($K$14="650-675",IF($K$15="Yes",'Data Tables'!AW20,'Data Tables'!AX20),IF($K$14="675-700",IF($K$15="Yes",'Data Tables'!AW20,'Data Tables'!AX20),IF($K$14="700-750",IF($K$15="Yes",'Data Tables'!BC20,'Data Tables'!BD20),IF($K$14="750-800",IF($K$15="Yes",'Data Tables'!BC20,'Data Tables'!BD20),IF($K$14="800-850",IF($K$15="Yes",'Data Tables'!BC20,'Data Tables'!BD20),IF($K$15="Yes",'Data Tables'!BC20,'Data Tables'!BD20)))))))))))))),($K31*(IF($K$13="Freely draining",IF($K$14="550-575",IF($K$15="Yes",'Data Tables'!AM31,'Data Tables'!AN31),IF($K$14="575-600",IF($K$15="Yes",'Data Tables'!AM31,'Data Tables'!AN31),IF($K$14="600-625",IF($K$15="Yes",'Data Tables'!AS31,'Data Tables'!AT31),IF($K$14="625-650",IF($K$15="Yes",'Data Tables'!AS31,'Data Tables'!AT31),IF($K$14="650-675",IF($K$15="Yes",'Data Tables'!AS31,'Data Tables'!AT31),IF($K$14="675-700",IF($K$15="Yes",'Data Tables'!AS31,'Data Tables'!AT31),IF($K$14="700-750",IF($K$15="Yes",'Data Tables'!AY31,'Data Tables'!AZ31),IF($K$14="750-800",IF($K$15="Yes",'Data Tables'!AY31,'Data Tables'!AZ31),IF($K$14="800-850",IF($K$15="Yes",'Data Tables'!AY31,'Data Tables'!AZ31),IF($K$15="Yes",'Data Tables'!AY31,'Data Tables'!AZ31)))))))))),IF($K$13="Impermeable - drained for arable",IF($K$14="550-575",IF($K$15="Yes",'Data Tables'!AO31,'Data Tables'!AP31),IF($K$14="575-600",IF($K$15="Yes",'Data Tables'!AO31,'Data Tables'!AP31),IF($K$14="600-625",IF($K$15="Yes",'Data Tables'!AU31,'Data Tables'!AV31),IF($K$14="625-650",IF($K$15="Yes",'Data Tables'!AU31,'Data Tables'!AV31),IF($K$14="650-675",IF($K$15="Yes",'Data Tables'!AU31,'Data Tables'!AV31),IF($K$14="675-700",IF($K$15="Yes",'Data Tables'!AU31,'Data Tables'!AV31),IF($K$14="700-750",IF($K$15="Yes",'Data Tables'!BA31,'Data Tables'!BB31),IF($K$14="750-800",IF($K$15="Yes",'Data Tables'!BA31,'Data Tables'!BB31),IF($K$14="800-850",IF($K$15="Yes",'Data Tables'!BA31,'Data Tables'!BB31),IF($K$15="Yes",'Data Tables'!BA31,'Data Tables'!BB31)))))))))),IF($K$14="550-575",IF($K$15="Yes",'Data Tables'!AQ31,'Data Tables'!AR31),IF($K$14="575-600",IF($K$15="Yes",'Data Tables'!AQ31,'Data Tables'!AR31),IF($K$14="600-625",IF($K$15="Yes",'Data Tables'!AW31,'Data Tables'!AX31),IF($K$14="625-650",IF($K$15="Yes",'Data Tables'!AW31,'Data Tables'!AX31),IF($K$14="650-675",IF($K$15="Yes",'Data Tables'!AW31,'Data Tables'!AX31),IF($K$14="675-700",IF($K$15="Yes",'Data Tables'!AW31,'Data Tables'!AX31),IF($K$14="700-750",IF($K$15="Yes",'Data Tables'!BC31,'Data Tables'!BD31),IF($K$14="750-800",IF($K$15="Yes",'Data Tables'!BC31,'Data Tables'!BD31),IF($K$14="800-850",IF($K$15="Yes",'Data Tables'!BC31,'Data Tables'!BD31),IF($K$15="Yes",'Data Tables'!BC31,'Data Tables'!BD31))))))))))))))))</f>
        <v>0</v>
      </c>
      <c r="R31" s="288"/>
      <c r="S31" s="49" t="s">
        <v>398</v>
      </c>
      <c r="T31" s="6"/>
      <c r="W31" s="113"/>
      <c r="X31" s="113"/>
      <c r="Y31" s="113"/>
      <c r="Z31" s="113"/>
      <c r="AA31" s="113"/>
      <c r="AB31" s="113"/>
      <c r="AC31" s="113"/>
      <c r="AD31" s="113"/>
      <c r="AE31" s="113"/>
      <c r="AF31" s="113"/>
      <c r="AG31" s="113"/>
      <c r="AH31" s="113"/>
      <c r="AI31" s="113"/>
      <c r="AJ31" s="113"/>
      <c r="AK31" s="113"/>
      <c r="AL31" s="113"/>
      <c r="AM31" s="113"/>
      <c r="AN31" s="113"/>
      <c r="AO31" s="113"/>
      <c r="AQ31" s="113"/>
      <c r="AR31" s="113"/>
      <c r="AS31" s="113"/>
      <c r="AT31" s="113"/>
      <c r="AU31" s="113"/>
      <c r="AV31" s="113"/>
      <c r="AW31" s="113"/>
      <c r="AX31" s="113"/>
      <c r="AY31" s="113"/>
      <c r="AZ31" s="113"/>
      <c r="BA31" s="113"/>
      <c r="BB31" s="113"/>
      <c r="BC31" s="113"/>
    </row>
    <row r="32" spans="2:55" ht="14.45" customHeight="1" x14ac:dyDescent="0.25">
      <c r="B32" s="4"/>
      <c r="C32" s="42"/>
      <c r="D32" s="227"/>
      <c r="E32" s="49"/>
      <c r="F32" s="437" t="s">
        <v>22</v>
      </c>
      <c r="G32" s="437"/>
      <c r="H32" s="437"/>
      <c r="I32" s="437"/>
      <c r="J32" s="437"/>
      <c r="K32" s="282"/>
      <c r="L32" s="240" t="s">
        <v>17</v>
      </c>
      <c r="M32" s="49"/>
      <c r="N32" s="49"/>
      <c r="O32" s="287">
        <f>IF($K$12="Wensum",($K32*(IF($K$13="Freely draining",IF($K$14="550-575",IF($K$15="Yes",'Data Tables'!S10,'Data Tables'!T10),IF($K$14="575-600",IF($K$15="Yes",'Data Tables'!S10,'Data Tables'!T10),IF($K$14="600-625",IF($K$15="Yes",'Data Tables'!Y10,'Data Tables'!Z10),IF($K$14="625-650",IF($K$15="Yes",'Data Tables'!Y10,'Data Tables'!Z10),IF($K$14="650-675",IF($K$15="Yes",'Data Tables'!Y10,'Data Tables'!Z10),IF($K$14="675-700",IF($K$15="Yes",'Data Tables'!Y10,'Data Tables'!Z10),IF($K$14="700-750",IF($K$15="Yes",'Data Tables'!AE10,'Data Tables'!AF10),IF($K$14="750-800",IF($K$15="Yes",'Data Tables'!AE10,'Data Tables'!AF10),IF($K$14="800-850",IF($K$15="Yes",'Data Tables'!AE10,'Data Tables'!AF10),IF($K$15="Yes",'Data Tables'!Y10,'Data Tables'!Z10)))))))))),IF($K$13="Impermeable - drained for arable",IF($K$14="550-575",IF($K$15="Yes",'Data Tables'!U10,'Data Tables'!V10),IF($K$14="575-600",IF($K$15="Yes",'Data Tables'!U10,'Data Tables'!V10),IF($K$14="600-625",IF($K$15="Yes",'Data Tables'!AA10,'Data Tables'!AB10),IF($K$14="625-650",IF($K$15="Yes",'Data Tables'!AA10,'Data Tables'!AB10),IF($K$14="650-675",IF($K$15="Yes",'Data Tables'!AA10,'Data Tables'!AB10),IF($K$14="675-700",IF($K$15="Yes",'Data Tables'!AA10,'Data Tables'!AB10),IF($K$14="700-750",IF($K$15="Yes",'Data Tables'!AG10,'Data Tables'!AH10),IF($K$14="750-800",IF($K$15="Yes",'Data Tables'!AG10,'Data Tables'!AH10),IF($K$14="800-850",IF($K$15="Yes",'Data Tables'!AG10,'Data Tables'!AH10),IF($K$15="Yes",'Data Tables'!AG10,'Data Tables'!AH10)))))))))),IF($K$14="550-575",IF($K$15="Yes",'Data Tables'!W10,'Data Tables'!X10),IF($K$14="575-600",IF($K$15="Yes",'Data Tables'!W10,'Data Tables'!X10),IF($K$14="600-625",IF($K$15="Yes",'Data Tables'!AC10,'Data Tables'!AD10),IF($K$14="625-650",IF($K$15="Yes",'Data Tables'!AC10,'Data Tables'!AD10),IF($K$14="650-675",IF($K$15="Yes",'Data Tables'!AC10,'Data Tables'!AD10),IF($K$14="675-700",IF($K$15="Yes",'Data Tables'!AC10,'Data Tables'!AD10),IF($K$14="700-750",IF($K$15="Yes",'Data Tables'!AI10,'Data Tables'!AJ10),IF($K$14="750-800",IF($K$15="Yes",'Data Tables'!AI10,'Data Tables'!AJ10),IF($K$14="800-850",IF($K$15="Yes",'Data Tables'!AI10,'Data Tables'!AJ10),IF($K$15="Yes",'Data Tables'!AI10,'Data Tables'!AJ10)))))))))))))),IF($K$12="Yare",($K32*(IF($K$13="Freely draining",IF($K$14="550-575",IF($K$15="Yes",'Data Tables'!S21,'Data Tables'!T21),IF($K$14="575-600",IF($K$15="Yes",'Data Tables'!S21,'Data Tables'!T21),IF($K$14="600-625",IF($K$15="Yes",'Data Tables'!Y21,'Data Tables'!Z21),IF($K$14="625-650",IF($K$15="Yes",'Data Tables'!Y21,'Data Tables'!Z21),IF($K$14="650-675",IF($K$15="Yes",'Data Tables'!Y21,'Data Tables'!Z21),IF($K$14="675-700",IF($K$15="Yes",'Data Tables'!Y21,'Data Tables'!Z21),IF($K$14="700-750",IF($K$15="Yes",'Data Tables'!AE21,'Data Tables'!AF21),IF($K$14="750-800",IF($K$15="Yes",'Data Tables'!AE21,'Data Tables'!AF21),IF($K$14="800-850",IF($K$15="Yes",'Data Tables'!AE21,'Data Tables'!AF21),IF($K$15="Yes",'Data Tables'!AE21,'Data Tables'!AF21)))))))))),IF($K$13="Impermeable - drained for arable",IF($K$14="550-575",IF($K$15="Yes",'Data Tables'!U21,'Data Tables'!V21),IF($K$14="575-600",IF($K$15="Yes",'Data Tables'!U21,'Data Tables'!V21),IF($K$14="600-625",IF($K$15="Yes",'Data Tables'!AA21,'Data Tables'!AB21),IF($K$14="625-650",IF($K$15="Yes",'Data Tables'!AA21,'Data Tables'!AB21),IF($K$14="650-675",IF($K$15="Yes",'Data Tables'!AA21,'Data Tables'!AB21),IF($K$14="675-700",IF($K$15="Yes",'Data Tables'!AA21,'Data Tables'!AB21),IF($K$14="700-750",IF($K$15="Yes",'Data Tables'!AG21,'Data Tables'!AH21),IF($K$14="750-800",IF($K$15="Yes",'Data Tables'!AG21,'Data Tables'!AH21),IF($K$14="800-850",IF($K$15="Yes",'Data Tables'!AG21,'Data Tables'!AH21),IF($K$15="Yes",'Data Tables'!AG21,'Data Tables'!AH21)))))))))),IF($K$14="550-575",IF($K$15="Yes",'Data Tables'!W21,'Data Tables'!X21),IF($K$14="575-600",IF($K$15="Yes",'Data Tables'!W21,'Data Tables'!X21),IF($K$14="600-625",IF($K$15="Yes",'Data Tables'!AC21,'Data Tables'!AD21),IF($K$14="625-650",IF($K$15="Yes",'Data Tables'!AC21,'Data Tables'!AD21),IF($K$14="650-675",IF($K$15="Yes",'Data Tables'!AC21,'Data Tables'!AD21),IF($K$14="675-700",IF($K$15="Yes",'Data Tables'!AC21,'Data Tables'!AD21),IF($K$14="700-750",IF($K$15="Yes",'Data Tables'!AI21,'Data Tables'!AJ21),IF($K$14="750-800",IF($K$15="Yes",'Data Tables'!AI21,'Data Tables'!AJ21),IF($K$14="800-850",IF($K$15="Yes",'Data Tables'!AI21,'Data Tables'!AJ21),IF($K$15="Yes",'Data Tables'!AI21,'Data Tables'!AJ21)))))))))))))),($K32*(IF($K$13="Freely draining",IF($K$14="550-575",IF($K$15="Yes",'Data Tables'!S32,'Data Tables'!T32),IF($K$14="575-600",IF($K$15="Yes",'Data Tables'!S32,'Data Tables'!T32),IF($K$14="600-625",IF($K$15="Yes",'Data Tables'!Y32,'Data Tables'!Z32),IF($K$14="625-650",IF($K$15="Yes",'Data Tables'!Y32,'Data Tables'!Z32),IF($K$14="650-675",IF($K$15="Yes",'Data Tables'!Y32,'Data Tables'!Z32),IF($K$14="675-700",IF($K$15="Yes",'Data Tables'!Y32,'Data Tables'!Z32),IF($K$14="700-750",IF($K$15="Yes",'Data Tables'!AE32,'Data Tables'!AF32),IF($K$14="750-800",IF($K$15="Yes",'Data Tables'!AE32,'Data Tables'!AF32),IF($K$14="800-850",IF($K$15="Yes",'Data Tables'!AE32,'Data Tables'!AF32),IF($K$15="Yes",'Data Tables'!AE32,'Data Tables'!AF32)))))))))),IF($K$13="Impermeable - drained for arable",IF($K$14="550-575",IF($K$15="Yes",'Data Tables'!U32,'Data Tables'!V32),IF($K$14="575-600",IF($K$15="Yes",'Data Tables'!U32,'Data Tables'!V32),IF($K$14="600-625",IF($K$15="Yes",'Data Tables'!AA32,'Data Tables'!AB32),IF($K$14="625-650",IF($K$15="Yes",'Data Tables'!AA32,'Data Tables'!AB32),IF($K$14="650-675",IF($K$15="Yes",'Data Tables'!AA32,'Data Tables'!AB32),IF($K$14="675-700",IF($K$15="Yes",'Data Tables'!AA32,'Data Tables'!AB32),IF($K$14="700-750",IF($K$15="Yes",'Data Tables'!AG32,'Data Tables'!AH32),IF($K$14="750-800",IF($K$15="Yes",'Data Tables'!AG32,'Data Tables'!AH32),IF($K$14="800-850",IF($K$15="Yes",'Data Tables'!AG32,'Data Tables'!AH32),IF($K$15="Yes",'Data Tables'!AG32,'Data Tables'!AH32)))))))))),IF($K$14="550-575",IF($K$15="Yes",'Data Tables'!W32,'Data Tables'!X32),IF($K$14="575-600",IF($K$15="Yes",'Data Tables'!W32,'Data Tables'!X32),IF($K$14="600-625",IF($K$15="Yes",'Data Tables'!AC32,'Data Tables'!AD32),IF($K$14="625-650",IF($K$15="Yes",'Data Tables'!AC32,'Data Tables'!AD32),IF($K$14="650-675",IF($K$15="Yes",'Data Tables'!AC32,'Data Tables'!AD32),IF($K$14="675-700",IF($K$15="Yes",'Data Tables'!AC32,'Data Tables'!AD32),IF($K$14="700-750",IF($K$15="Yes",'Data Tables'!AI32,'Data Tables'!AJ32),IF($K$14="750-800",IF($K$15="Yes",'Data Tables'!AI32,'Data Tables'!AJ32),IF($K$14="800-850",IF($K$15="Yes",'Data Tables'!AI32,'Data Tables'!AJ32),IF($K$15="Yes",'Data Tables'!AI32,'Data Tables'!AJ32))))))))))))))))</f>
        <v>0</v>
      </c>
      <c r="P32" s="284"/>
      <c r="Q32" s="287">
        <f>IF($K$12="Wensum",($K32*(IF($K$13="Freely draining",IF($K$14="550-575",IF($K$15="Yes",'Data Tables'!AM10,'Data Tables'!AN10),IF($K$14="575-600",IF($K$15="Yes",'Data Tables'!AM10,'Data Tables'!AN10),IF($K$14="600-625",IF($K$15="Yes",'Data Tables'!AS10,'Data Tables'!AT10),IF($K$14="625-650",IF($K$15="Yes",'Data Tables'!AS10,'Data Tables'!AT10),IF($K$14="650-675",IF($K$15="Yes",'Data Tables'!AS10,'Data Tables'!AT10),IF($K$14="675-700",IF($K$15="Yes",'Data Tables'!AS10,'Data Tables'!AT10),IF($K$14="700-750",IF($K$15="Yes",'Data Tables'!AY10,'Data Tables'!AZ10),IF($K$14="750-800",IF($K$15="Yes",'Data Tables'!AY10,'Data Tables'!AZ10),IF($K$14="800-850",IF($K$15="Yes",'Data Tables'!AY10,'Data Tables'!AZ10),IF($K$15="Yes",'Data Tables'!AS10,'Data Tables'!AT10)))))))))),IF($K$13="Impermeable - drained for arable",IF($K$14="550-575",IF($K$15="Yes",'Data Tables'!AO10,'Data Tables'!AP10),IF($K$14="575-600",IF($K$15="Yes",'Data Tables'!AO10,'Data Tables'!AP10),IF($K$14="600-625",IF($K$15="Yes",'Data Tables'!AU10,'Data Tables'!AV10),IF($K$14="625-650",IF($K$15="Yes",'Data Tables'!AU10,'Data Tables'!AV10),IF($K$14="650-675",IF($K$15="Yes",'Data Tables'!AU10,'Data Tables'!AV10),IF($K$14="675-700",IF($K$15="Yes",'Data Tables'!AU10,'Data Tables'!AV10),IF($K$14="700-750",IF($K$15="Yes",'Data Tables'!BA10,'Data Tables'!BB10),IF($K$14="750-800",IF($K$15="Yes",'Data Tables'!BA10,'Data Tables'!BB10),IF($K$14="800-850",IF($K$15="Yes",'Data Tables'!BA10,'Data Tables'!BB10),IF($K$15="Yes",'Data Tables'!BA10,'Data Tables'!BB10)))))))))),IF($K$14="550-575",IF($K$15="Yes",'Data Tables'!AQ10,'Data Tables'!AR10),IF($K$14="575-600",IF($K$15="Yes",'Data Tables'!AQ10,'Data Tables'!AR10),IF($K$14="600-625",IF($K$15="Yes",'Data Tables'!AW10,'Data Tables'!AX10),IF($K$14="625-650",IF($K$15="Yes",'Data Tables'!AW10,'Data Tables'!AX10),IF($K$14="650-675",IF($K$15="Yes",'Data Tables'!AW10,'Data Tables'!AX10),IF($K$14="675-700",IF($K$15="Yes",'Data Tables'!AW10,'Data Tables'!AX10),IF($K$14="700-750",IF($K$15="Yes",'Data Tables'!BC10,'Data Tables'!BD10),IF($K$14="750-800",IF($K$15="Yes",'Data Tables'!BC10,'Data Tables'!BD10),IF($K$14="800-850",IF($K$15="Yes",'Data Tables'!BC10,'Data Tables'!BD10),IF($K$15="Yes",'Data Tables'!BC10,'Data Tables'!BD10)))))))))))))),IF($K$12="Yare",($K32*(IF($K$13="Freely draining",IF($K$14="550-575",IF($K$15="Yes",'Data Tables'!AM21,'Data Tables'!AN21),IF($K$14="575-600",IF($K$15="Yes",'Data Tables'!AM21,'Data Tables'!AN21),IF($K$14="600-625",IF($K$15="Yes",'Data Tables'!AS21,'Data Tables'!AT21),IF($K$14="625-650",IF($K$15="Yes",'Data Tables'!AS21,'Data Tables'!AT21),IF($K$14="650-675",IF($K$15="Yes",'Data Tables'!AS21,'Data Tables'!AT21),IF($K$14="675-700",IF($K$15="Yes",'Data Tables'!AS21,'Data Tables'!AT21),IF($K$14="700-750",IF($K$15="Yes",'Data Tables'!AY21,'Data Tables'!AZ21),IF($K$14="750-800",IF($K$15="Yes",'Data Tables'!AY21,'Data Tables'!AZ21),IF($K$14="800-850",IF($K$15="Yes",'Data Tables'!AY21,'Data Tables'!AZ21),IF($K$15="Yes",'Data Tables'!AY21,'Data Tables'!AZ21)))))))))),IF($K$13="Impermeable - drained for arable",IF($K$14="550-575",IF($K$15="Yes",'Data Tables'!AO21,'Data Tables'!AP21),IF($K$14="575-600",IF($K$15="Yes",'Data Tables'!AO21,'Data Tables'!AP21),IF($K$14="600-625",IF($K$15="Yes",'Data Tables'!AU21,'Data Tables'!AV21),IF($K$14="625-650",IF($K$15="Yes",'Data Tables'!AU21,'Data Tables'!AV21),IF($K$14="650-675",IF($K$15="Yes",'Data Tables'!AU21,'Data Tables'!AV21),IF($K$14="675-700",IF($K$15="Yes",'Data Tables'!AU21,'Data Tables'!AV21),IF($K$14="700-750",IF($K$15="Yes",'Data Tables'!BA21,'Data Tables'!BB21),IF($K$14="750-800",IF($K$15="Yes",'Data Tables'!BA21,'Data Tables'!BB21),IF($K$14="800-850",IF($K$15="Yes",'Data Tables'!BA21,'Data Tables'!BB21),IF($K$15="Yes",'Data Tables'!BA21,'Data Tables'!BB21)))))))))),IF($K$14="550-575",IF($K$15="Yes",'Data Tables'!AQ21,'Data Tables'!AR21),IF($K$14="575-600",IF($K$15="Yes",'Data Tables'!AQ21,'Data Tables'!AR21),IF($K$14="600-625",IF($K$15="Yes",'Data Tables'!AW21,'Data Tables'!AX21),IF($K$14="625-650",IF($K$15="Yes",'Data Tables'!AW21,'Data Tables'!AX21),IF($K$14="650-675",IF($K$15="Yes",'Data Tables'!AW21,'Data Tables'!AX21),IF($K$14="675-700",IF($K$15="Yes",'Data Tables'!AW21,'Data Tables'!AX21),IF($K$14="700-750",IF($K$15="Yes",'Data Tables'!BC21,'Data Tables'!BD21),IF($K$14="750-800",IF($K$15="Yes",'Data Tables'!BC21,'Data Tables'!BD21),IF($K$14="800-850",IF($K$15="Yes",'Data Tables'!BC21,'Data Tables'!BD21),IF($K$15="Yes",'Data Tables'!BC21,'Data Tables'!BD21)))))))))))))),($K32*(IF($K$13="Freely draining",IF($K$14="550-575",IF($K$15="Yes",'Data Tables'!AM32,'Data Tables'!AN32),IF($K$14="575-600",IF($K$15="Yes",'Data Tables'!AM32,'Data Tables'!AN32),IF($K$14="600-625",IF($K$15="Yes",'Data Tables'!AS32,'Data Tables'!AT32),IF($K$14="625-650",IF($K$15="Yes",'Data Tables'!AS32,'Data Tables'!AT32),IF($K$14="650-675",IF($K$15="Yes",'Data Tables'!AS32,'Data Tables'!AT32),IF($K$14="675-700",IF($K$15="Yes",'Data Tables'!AS32,'Data Tables'!AT32),IF($K$14="700-750",IF($K$15="Yes",'Data Tables'!AY32,'Data Tables'!AZ32),IF($K$14="750-800",IF($K$15="Yes",'Data Tables'!AY32,'Data Tables'!AZ32),IF($K$14="800-850",IF($K$15="Yes",'Data Tables'!AY32,'Data Tables'!AZ32),IF($K$15="Yes",'Data Tables'!AY32,'Data Tables'!AZ32)))))))))),IF($K$13="Impermeable - drained for arable",IF($K$14="550-575",IF($K$15="Yes",'Data Tables'!AO32,'Data Tables'!AP32),IF($K$14="575-600",IF($K$15="Yes",'Data Tables'!AO32,'Data Tables'!AP32),IF($K$14="600-625",IF($K$15="Yes",'Data Tables'!AU32,'Data Tables'!AV32),IF($K$14="625-650",IF($K$15="Yes",'Data Tables'!AU32,'Data Tables'!AV32),IF($K$14="650-675",IF($K$15="Yes",'Data Tables'!AU32,'Data Tables'!AV32),IF($K$14="675-700",IF($K$15="Yes",'Data Tables'!AU32,'Data Tables'!AV32),IF($K$14="700-750",IF($K$15="Yes",'Data Tables'!BA32,'Data Tables'!BB32),IF($K$14="750-800",IF($K$15="Yes",'Data Tables'!BA32,'Data Tables'!BB32),IF($K$14="800-850",IF($K$15="Yes",'Data Tables'!BA32,'Data Tables'!BB32),IF($K$15="Yes",'Data Tables'!BA32,'Data Tables'!BB32)))))))))),IF($K$14="550-575",IF($K$15="Yes",'Data Tables'!AQ32,'Data Tables'!AR32),IF($K$14="575-600",IF($K$15="Yes",'Data Tables'!AQ32,'Data Tables'!AR32),IF($K$14="600-625",IF($K$15="Yes",'Data Tables'!AW32,'Data Tables'!AX32),IF($K$14="625-650",IF($K$15="Yes",'Data Tables'!AW32,'Data Tables'!AX32),IF($K$14="650-675",IF($K$15="Yes",'Data Tables'!AW32,'Data Tables'!AX32),IF($K$14="675-700",IF($K$15="Yes",'Data Tables'!AW32,'Data Tables'!AX32),IF($K$14="700-750",IF($K$15="Yes",'Data Tables'!BC32,'Data Tables'!BD32),IF($K$14="750-800",IF($K$15="Yes",'Data Tables'!BC32,'Data Tables'!BD32),IF($K$14="800-850",IF($K$15="Yes",'Data Tables'!BC32,'Data Tables'!BD32),IF($K$15="Yes",'Data Tables'!BC32,'Data Tables'!BD32))))))))))))))))</f>
        <v>0</v>
      </c>
      <c r="R32" s="288"/>
      <c r="S32" s="49" t="s">
        <v>398</v>
      </c>
      <c r="T32" s="6"/>
      <c r="W32" s="113"/>
      <c r="X32" s="113"/>
      <c r="Y32" s="113"/>
      <c r="Z32" s="113"/>
      <c r="AA32" s="113"/>
      <c r="AB32" s="113"/>
      <c r="AC32" s="113"/>
      <c r="AD32" s="113"/>
      <c r="AE32" s="113"/>
      <c r="AF32" s="113"/>
      <c r="AG32" s="113"/>
      <c r="AH32" s="113"/>
      <c r="AI32" s="113"/>
      <c r="AJ32" s="113"/>
      <c r="AK32" s="113"/>
      <c r="AL32" s="113"/>
      <c r="AM32" s="113"/>
      <c r="AN32" s="113"/>
      <c r="AO32" s="113"/>
      <c r="AQ32" s="113"/>
      <c r="AR32" s="113"/>
      <c r="AS32" s="113"/>
      <c r="AT32" s="113"/>
      <c r="AU32" s="113"/>
      <c r="AV32" s="113"/>
      <c r="AW32" s="113"/>
      <c r="AX32" s="113"/>
      <c r="AY32" s="113"/>
      <c r="AZ32" s="113"/>
      <c r="BA32" s="113"/>
      <c r="BB32" s="113"/>
      <c r="BC32" s="113"/>
    </row>
    <row r="33" spans="2:55" ht="14.45" customHeight="1" x14ac:dyDescent="0.25">
      <c r="B33" s="4"/>
      <c r="C33" s="42"/>
      <c r="D33" s="227"/>
      <c r="E33" s="49"/>
      <c r="F33" s="437" t="s">
        <v>387</v>
      </c>
      <c r="G33" s="437"/>
      <c r="H33" s="437"/>
      <c r="I33" s="437"/>
      <c r="J33" s="437"/>
      <c r="K33" s="282"/>
      <c r="L33" s="240" t="s">
        <v>17</v>
      </c>
      <c r="M33" s="49"/>
      <c r="N33" s="49"/>
      <c r="O33" s="287">
        <f>IF($K$12="Wensum",($K33*(IF($K$13="Freely draining",IF($K$14="550-575",IF($K$15="Yes",'Data Tables'!S11,'Data Tables'!T11),IF($K$14="575-600",IF($K$15="Yes",'Data Tables'!S11,'Data Tables'!T11),IF($K$14="600-625",IF($K$15="Yes",'Data Tables'!Y11,'Data Tables'!Z11),IF($K$14="625-650",IF($K$15="Yes",'Data Tables'!Y11,'Data Tables'!Z11),IF($K$14="650-675",IF($K$15="Yes",'Data Tables'!Y11,'Data Tables'!Z11),IF($K$14="675-700",IF($K$15="Yes",'Data Tables'!Y11,'Data Tables'!Z11),IF($K$14="700-750",IF($K$15="Yes",'Data Tables'!AE11,'Data Tables'!AF11),IF($K$14="750-800",IF($K$15="Yes",'Data Tables'!AE11,'Data Tables'!AF11),IF($K$14="800-850",IF($K$15="Yes",'Data Tables'!AE11,'Data Tables'!AF11),IF($K$15="Yes",'Data Tables'!Y11,'Data Tables'!Z11)))))))))),IF($K$13="Impermeable - drained for arable",IF($K$14="550-575",IF($K$15="Yes",'Data Tables'!U11,'Data Tables'!V11),IF($K$14="575-600",IF($K$15="Yes",'Data Tables'!U11,'Data Tables'!V11),IF($K$14="600-625",IF($K$15="Yes",'Data Tables'!AA11,'Data Tables'!AB11),IF($K$14="625-650",IF($K$15="Yes",'Data Tables'!AA11,'Data Tables'!AB11),IF($K$14="650-675",IF($K$15="Yes",'Data Tables'!AA11,'Data Tables'!AB11),IF($K$14="675-700",IF($K$15="Yes",'Data Tables'!AA11,'Data Tables'!AB11),IF($K$14="700-750",IF($K$15="Yes",'Data Tables'!AG11,'Data Tables'!AH11),IF($K$14="750-800",IF($K$15="Yes",'Data Tables'!AG11,'Data Tables'!AH11),IF($K$14="800-850",IF($K$15="Yes",'Data Tables'!AG11,'Data Tables'!AH11),IF($K$15="Yes",'Data Tables'!AG11,'Data Tables'!AH11)))))))))),IF($K$14="550-575",IF($K$15="Yes",'Data Tables'!W11,'Data Tables'!X11),IF($K$14="575-600",IF($K$15="Yes",'Data Tables'!W11,'Data Tables'!X11),IF($K$14="600-625",IF($K$15="Yes",'Data Tables'!AC11,'Data Tables'!AD11),IF($K$14="625-650",IF($K$15="Yes",'Data Tables'!AC11,'Data Tables'!AD11),IF($K$14="650-675",IF($K$15="Yes",'Data Tables'!AC11,'Data Tables'!AD11),IF($K$14="675-700",IF($K$15="Yes",'Data Tables'!AC11,'Data Tables'!AD11),IF($K$14="700-750",IF($K$15="Yes",'Data Tables'!AI11,'Data Tables'!AJ11),IF($K$14="750-800",IF($K$15="Yes",'Data Tables'!AI11,'Data Tables'!AJ11),IF($K$14="800-850",IF($K$15="Yes",'Data Tables'!AI11,'Data Tables'!AJ11),IF($K$15="Yes",'Data Tables'!AI11,'Data Tables'!AJ11)))))))))))))),IF($K$12="Yare",($K33*(IF($K$13="Freely draining",IF($K$14="550-575",IF($K$15="Yes",'Data Tables'!S22,'Data Tables'!T22),IF($K$14="575-600",IF($K$15="Yes",'Data Tables'!S22,'Data Tables'!T22),IF($K$14="600-625",IF($K$15="Yes",'Data Tables'!Y22,'Data Tables'!Z22),IF($K$14="625-650",IF($K$15="Yes",'Data Tables'!Y22,'Data Tables'!Z22),IF($K$14="650-675",IF($K$15="Yes",'Data Tables'!Y22,'Data Tables'!Z22),IF($K$14="675-700",IF($K$15="Yes",'Data Tables'!Y22,'Data Tables'!Z22),IF($K$14="700-750",IF($K$15="Yes",'Data Tables'!AE22,'Data Tables'!AF22),IF($K$14="750-800",IF($K$15="Yes",'Data Tables'!AE22,'Data Tables'!AF22),IF($K$14="800-850",IF($K$15="Yes",'Data Tables'!AE22,'Data Tables'!AF22),IF($K$15="Yes",'Data Tables'!AE22,'Data Tables'!AF22)))))))))),IF($K$13="Impermeable - drained for arable",IF($K$14="550-575",IF($K$15="Yes",'Data Tables'!U22,'Data Tables'!V22),IF($K$14="575-600",IF($K$15="Yes",'Data Tables'!U22,'Data Tables'!V22),IF($K$14="600-625",IF($K$15="Yes",'Data Tables'!AA22,'Data Tables'!AB22),IF($K$14="625-650",IF($K$15="Yes",'Data Tables'!AA22,'Data Tables'!AB22),IF($K$14="650-675",IF($K$15="Yes",'Data Tables'!AA22,'Data Tables'!AB22),IF($K$14="675-700",IF($K$15="Yes",'Data Tables'!AA22,'Data Tables'!AB22),IF($K$14="700-750",IF($K$15="Yes",'Data Tables'!AG22,'Data Tables'!AH22),IF($K$14="750-800",IF($K$15="Yes",'Data Tables'!AG22,'Data Tables'!AH22),IF($K$14="800-850",IF($K$15="Yes",'Data Tables'!AG22,'Data Tables'!AH22),IF($K$15="Yes",'Data Tables'!AG22,'Data Tables'!AH22)))))))))),IF($K$14="550-575",IF($K$15="Yes",'Data Tables'!W22,'Data Tables'!X22),IF($K$14="575-600",IF($K$15="Yes",'Data Tables'!W22,'Data Tables'!X22),IF($K$14="600-625",IF($K$15="Yes",'Data Tables'!AC22,'Data Tables'!AD22),IF($K$14="625-650",IF($K$15="Yes",'Data Tables'!AC22,'Data Tables'!AD22),IF($K$14="650-675",IF($K$15="Yes",'Data Tables'!AC22,'Data Tables'!AD22),IF($K$14="675-700",IF($K$15="Yes",'Data Tables'!AC22,'Data Tables'!AD22),IF($K$14="700-750",IF($K$15="Yes",'Data Tables'!AI22,'Data Tables'!AJ22),IF($K$14="750-800",IF($K$15="Yes",'Data Tables'!AI22,'Data Tables'!AJ22),IF($K$14="800-850",IF($K$15="Yes",'Data Tables'!AI22,'Data Tables'!AJ22),IF($K$15="Yes",'Data Tables'!AI22,'Data Tables'!AJ22)))))))))))))),($K33*(IF($K$13="Freely draining",IF($K$14="550-575",IF($K$15="Yes",'Data Tables'!S33,'Data Tables'!T33),IF($K$14="575-600",IF($K$15="Yes",'Data Tables'!S33,'Data Tables'!T33),IF($K$14="600-625",IF($K$15="Yes",'Data Tables'!Y33,'Data Tables'!Z33),IF($K$14="625-650",IF($K$15="Yes",'Data Tables'!Y33,'Data Tables'!Z33),IF($K$14="650-675",IF($K$15="Yes",'Data Tables'!Y33,'Data Tables'!Z33),IF($K$14="675-700",IF($K$15="Yes",'Data Tables'!Y33,'Data Tables'!Z33),IF($K$14="700-750",IF($K$15="Yes",'Data Tables'!AE33,'Data Tables'!AF33),IF($K$14="750-800",IF($K$15="Yes",'Data Tables'!AE33,'Data Tables'!AF33),IF($K$14="800-850",IF($K$15="Yes",'Data Tables'!AE33,'Data Tables'!AF33),IF($K$15="Yes",'Data Tables'!AE33,'Data Tables'!AF33)))))))))),IF($K$13="Impermeable - drained for arable",IF($K$14="550-575",IF($K$15="Yes",'Data Tables'!U33,'Data Tables'!V33),IF($K$14="575-600",IF($K$15="Yes",'Data Tables'!U33,'Data Tables'!V33),IF($K$14="600-625",IF($K$15="Yes",'Data Tables'!AA33,'Data Tables'!AB33),IF($K$14="625-650",IF($K$15="Yes",'Data Tables'!AA33,'Data Tables'!AB33),IF($K$14="650-675",IF($K$15="Yes",'Data Tables'!AA33,'Data Tables'!AB33),IF($K$14="675-700",IF($K$15="Yes",'Data Tables'!AA33,'Data Tables'!AB33),IF($K$14="700-750",IF($K$15="Yes",'Data Tables'!AG33,'Data Tables'!AH33),IF($K$14="750-800",IF($K$15="Yes",'Data Tables'!AG33,'Data Tables'!AH33),IF($K$14="800-850",IF($K$15="Yes",'Data Tables'!AG33,'Data Tables'!AH33),IF($K$15="Yes",'Data Tables'!AG33,'Data Tables'!AH33)))))))))),IF($K$14="550-575",IF($K$15="Yes",'Data Tables'!W33,'Data Tables'!X33),IF($K$14="575-600",IF($K$15="Yes",'Data Tables'!W33,'Data Tables'!X33),IF($K$14="600-625",IF($K$15="Yes",'Data Tables'!AC33,'Data Tables'!AD33),IF($K$14="625-650",IF($K$15="Yes",'Data Tables'!AC33,'Data Tables'!AD33),IF($K$14="650-675",IF($K$15="Yes",'Data Tables'!AC33,'Data Tables'!AD33),IF($K$14="675-700",IF($K$15="Yes",'Data Tables'!AC33,'Data Tables'!AD33),IF($K$14="700-750",IF($K$15="Yes",'Data Tables'!AI33,'Data Tables'!AJ33),IF($K$14="750-800",IF($K$15="Yes",'Data Tables'!AI33,'Data Tables'!AJ33),IF($K$14="800-850",IF($K$15="Yes",'Data Tables'!AI33,'Data Tables'!AJ33),IF($K$15="Yes",'Data Tables'!AI33,'Data Tables'!AJ33))))))))))))))))</f>
        <v>0</v>
      </c>
      <c r="P33" s="284"/>
      <c r="Q33" s="287">
        <f>IF($K$12="Wensum",($K33*(IF($K$13="Freely draining",IF($K$14="550-575",IF($K$15="Yes",'Data Tables'!AM11,'Data Tables'!AN11),IF($K$14="575-600",IF($K$15="Yes",'Data Tables'!AM11,'Data Tables'!AN11),IF($K$14="600-625",IF($K$15="Yes",'Data Tables'!AS11,'Data Tables'!AT11),IF($K$14="625-650",IF($K$15="Yes",'Data Tables'!AS11,'Data Tables'!AT11),IF($K$14="650-675",IF($K$15="Yes",'Data Tables'!AS11,'Data Tables'!AT11),IF($K$14="675-700",IF($K$15="Yes",'Data Tables'!AS11,'Data Tables'!AT11),IF($K$14="700-750",IF($K$15="Yes",'Data Tables'!AY11,'Data Tables'!AZ11),IF($K$14="750-800",IF($K$15="Yes",'Data Tables'!AY11,'Data Tables'!AZ11),IF($K$14="800-850",IF($K$15="Yes",'Data Tables'!AY11,'Data Tables'!AZ11),IF($K$15="Yes",'Data Tables'!AS11,'Data Tables'!AT11)))))))))),IF($K$13="Impermeable - drained for arable",IF($K$14="550-575",IF($K$15="Yes",'Data Tables'!AO11,'Data Tables'!AP11),IF($K$14="575-600",IF($K$15="Yes",'Data Tables'!AO11,'Data Tables'!AP11),IF($K$14="600-625",IF($K$15="Yes",'Data Tables'!AU11,'Data Tables'!AV11),IF($K$14="625-650",IF($K$15="Yes",'Data Tables'!AU11,'Data Tables'!AV11),IF($K$14="650-675",IF($K$15="Yes",'Data Tables'!AU11,'Data Tables'!AV11),IF($K$14="675-700",IF($K$15="Yes",'Data Tables'!AU11,'Data Tables'!AV11),IF($K$14="700-750",IF($K$15="Yes",'Data Tables'!BA11,'Data Tables'!BB11),IF($K$14="750-800",IF($K$15="Yes",'Data Tables'!BA11,'Data Tables'!BB11),IF($K$14="800-850",IF($K$15="Yes",'Data Tables'!BA11,'Data Tables'!BB11),IF($K$15="Yes",'Data Tables'!BA11,'Data Tables'!BB11)))))))))),IF($K$14="550-575",IF($K$15="Yes",'Data Tables'!AQ11,'Data Tables'!AR11),IF($K$14="575-600",IF($K$15="Yes",'Data Tables'!AQ11,'Data Tables'!AR11),IF($K$14="600-625",IF($K$15="Yes",'Data Tables'!AW11,'Data Tables'!AX11),IF($K$14="625-650",IF($K$15="Yes",'Data Tables'!AW11,'Data Tables'!AX11),IF($K$14="650-675",IF($K$15="Yes",'Data Tables'!AW11,'Data Tables'!AX11),IF($K$14="675-700",IF($K$15="Yes",'Data Tables'!AW11,'Data Tables'!AX11),IF($K$14="700-750",IF($K$15="Yes",'Data Tables'!BC11,'Data Tables'!BD11),IF($K$14="750-800",IF($K$15="Yes",'Data Tables'!BC11,'Data Tables'!BD11),IF($K$14="800-850",IF($K$15="Yes",'Data Tables'!BC11,'Data Tables'!BD11),IF($K$15="Yes",'Data Tables'!BC11,'Data Tables'!BD11)))))))))))))),IF($K$12="Yare",($K33*(IF($K$13="Freely draining",IF($K$14="550-575",IF($K$15="Yes",'Data Tables'!AM22,'Data Tables'!AN22),IF($K$14="575-600",IF($K$15="Yes",'Data Tables'!AM22,'Data Tables'!AN22),IF($K$14="600-625",IF($K$15="Yes",'Data Tables'!AS22,'Data Tables'!AT22),IF($K$14="625-650",IF($K$15="Yes",'Data Tables'!AS22,'Data Tables'!AT22),IF($K$14="650-675",IF($K$15="Yes",'Data Tables'!AS22,'Data Tables'!AT22),IF($K$14="675-700",IF($K$15="Yes",'Data Tables'!AS22,'Data Tables'!AT22),IF($K$14="700-750",IF($K$15="Yes",'Data Tables'!AY22,'Data Tables'!AZ22),IF($K$14="750-800",IF($K$15="Yes",'Data Tables'!AY22,'Data Tables'!AZ22),IF($K$14="800-850",IF($K$15="Yes",'Data Tables'!AY22,'Data Tables'!AZ22),IF($K$15="Yes",'Data Tables'!AY22,'Data Tables'!AZ22)))))))))),IF($K$13="Impermeable - drained for arable",IF($K$14="550-575",IF($K$15="Yes",'Data Tables'!AO22,'Data Tables'!AP22),IF($K$14="575-600",IF($K$15="Yes",'Data Tables'!AO22,'Data Tables'!AP22),IF($K$14="600-625",IF($K$15="Yes",'Data Tables'!AU22,'Data Tables'!AV22),IF($K$14="625-650",IF($K$15="Yes",'Data Tables'!AU22,'Data Tables'!AV22),IF($K$14="650-675",IF($K$15="Yes",'Data Tables'!AU22,'Data Tables'!AV22),IF($K$14="675-700",IF($K$15="Yes",'Data Tables'!AU22,'Data Tables'!AV22),IF($K$14="700-750",IF($K$15="Yes",'Data Tables'!BA22,'Data Tables'!BB22),IF($K$14="750-800",IF($K$15="Yes",'Data Tables'!BA22,'Data Tables'!BB22),IF($K$14="800-850",IF($K$15="Yes",'Data Tables'!BA22,'Data Tables'!BB22),IF($K$15="Yes",'Data Tables'!BA22,'Data Tables'!BB22)))))))))),IF($K$14="550-575",IF($K$15="Yes",'Data Tables'!AQ22,'Data Tables'!AR22),IF($K$14="575-600",IF($K$15="Yes",'Data Tables'!AQ22,'Data Tables'!AR22),IF($K$14="600-625",IF($K$15="Yes",'Data Tables'!AW22,'Data Tables'!AX22),IF($K$14="625-650",IF($K$15="Yes",'Data Tables'!AW22,'Data Tables'!AX22),IF($K$14="650-675",IF($K$15="Yes",'Data Tables'!AW22,'Data Tables'!AX22),IF($K$14="675-700",IF($K$15="Yes",'Data Tables'!AW22,'Data Tables'!AX22),IF($K$14="700-750",IF($K$15="Yes",'Data Tables'!BC22,'Data Tables'!BD22),IF($K$14="750-800",IF($K$15="Yes",'Data Tables'!BC22,'Data Tables'!BD22),IF($K$14="800-850",IF($K$15="Yes",'Data Tables'!BC22,'Data Tables'!BD22),IF($K$15="Yes",'Data Tables'!BC22,'Data Tables'!BD22)))))))))))))),($K33*(IF($K$13="Freely draining",IF($K$14="550-575",IF($K$15="Yes",'Data Tables'!AM33,'Data Tables'!AN33),IF($K$14="575-600",IF($K$15="Yes",'Data Tables'!AM33,'Data Tables'!AN33),IF($K$14="600-625",IF($K$15="Yes",'Data Tables'!AS33,'Data Tables'!AT33),IF($K$14="625-650",IF($K$15="Yes",'Data Tables'!AS33,'Data Tables'!AT33),IF($K$14="650-675",IF($K$15="Yes",'Data Tables'!AS33,'Data Tables'!AT33),IF($K$14="675-700",IF($K$15="Yes",'Data Tables'!AS33,'Data Tables'!AT33),IF($K$14="700-750",IF($K$15="Yes",'Data Tables'!AY33,'Data Tables'!AZ33),IF($K$14="750-800",IF($K$15="Yes",'Data Tables'!AY33,'Data Tables'!AZ33),IF($K$14="800-850",IF($K$15="Yes",'Data Tables'!AY33,'Data Tables'!AZ33),IF($K$15="Yes",'Data Tables'!AY33,'Data Tables'!AZ33)))))))))),IF($K$13="Impermeable - drained for arable",IF($K$14="550-575",IF($K$15="Yes",'Data Tables'!AO33,'Data Tables'!AP33),IF($K$14="575-600",IF($K$15="Yes",'Data Tables'!AO33,'Data Tables'!AP33),IF($K$14="600-625",IF($K$15="Yes",'Data Tables'!AU33,'Data Tables'!AV33),IF($K$14="625-650",IF($K$15="Yes",'Data Tables'!AU33,'Data Tables'!AV33),IF($K$14="650-675",IF($K$15="Yes",'Data Tables'!AU33,'Data Tables'!AV33),IF($K$14="675-700",IF($K$15="Yes",'Data Tables'!AU33,'Data Tables'!AV33),IF($K$14="700-750",IF($K$15="Yes",'Data Tables'!BA33,'Data Tables'!BB33),IF($K$14="750-800",IF($K$15="Yes",'Data Tables'!BA33,'Data Tables'!BB33),IF($K$14="800-850",IF($K$15="Yes",'Data Tables'!BA33,'Data Tables'!BB33),IF($K$15="Yes",'Data Tables'!BA33,'Data Tables'!BB33)))))))))),IF($K$14="550-575",IF($K$15="Yes",'Data Tables'!AQ33,'Data Tables'!AR33),IF($K$14="575-600",IF($K$15="Yes",'Data Tables'!AQ33,'Data Tables'!AR33),IF($K$14="600-625",IF($K$15="Yes",'Data Tables'!AW33,'Data Tables'!AX33),IF($K$14="625-650",IF($K$15="Yes",'Data Tables'!AW33,'Data Tables'!AX33),IF($K$14="650-675",IF($K$15="Yes",'Data Tables'!AW33,'Data Tables'!AX33),IF($K$14="675-700",IF($K$15="Yes",'Data Tables'!AW33,'Data Tables'!AX33),IF($K$14="700-750",IF($K$15="Yes",'Data Tables'!BC33,'Data Tables'!BD33),IF($K$14="750-800",IF($K$15="Yes",'Data Tables'!BC33,'Data Tables'!BD33),IF($K$14="800-850",IF($K$15="Yes",'Data Tables'!BC33,'Data Tables'!BD33),IF($K$15="Yes",'Data Tables'!BC33,'Data Tables'!BD33))))))))))))))))</f>
        <v>0</v>
      </c>
      <c r="R33" s="288"/>
      <c r="S33" s="49" t="s">
        <v>398</v>
      </c>
      <c r="T33" s="6"/>
      <c r="W33" s="113"/>
      <c r="X33" s="113"/>
      <c r="Y33" s="113"/>
      <c r="Z33" s="113"/>
      <c r="AA33" s="113"/>
      <c r="AB33" s="113"/>
      <c r="AC33" s="113"/>
      <c r="AD33" s="113"/>
      <c r="AE33" s="113"/>
      <c r="AF33" s="113"/>
      <c r="AG33" s="113"/>
      <c r="AH33" s="113"/>
      <c r="AI33" s="113"/>
      <c r="AJ33" s="113"/>
      <c r="AK33" s="113"/>
      <c r="AL33" s="113"/>
      <c r="AM33" s="113"/>
      <c r="AN33" s="113"/>
      <c r="AO33" s="113"/>
      <c r="AQ33" s="113"/>
      <c r="AR33" s="113"/>
      <c r="AS33" s="113"/>
      <c r="AT33" s="113"/>
      <c r="AU33" s="113"/>
      <c r="AV33" s="113"/>
      <c r="AW33" s="113"/>
      <c r="AX33" s="113"/>
      <c r="AY33" s="113"/>
      <c r="AZ33" s="113"/>
      <c r="BA33" s="113"/>
      <c r="BB33" s="113"/>
      <c r="BC33" s="113"/>
    </row>
    <row r="34" spans="2:55" ht="14.45" customHeight="1" x14ac:dyDescent="0.25">
      <c r="B34" s="4"/>
      <c r="C34" s="42"/>
      <c r="D34" s="227"/>
      <c r="E34" s="49"/>
      <c r="F34" s="374" t="s">
        <v>512</v>
      </c>
      <c r="G34" s="374"/>
      <c r="H34" s="374"/>
      <c r="I34" s="374"/>
      <c r="J34" s="374"/>
      <c r="K34" s="282"/>
      <c r="L34" s="240" t="s">
        <v>17</v>
      </c>
      <c r="M34" s="49"/>
      <c r="N34" s="49"/>
      <c r="O34" s="287">
        <f>IF($K$12="Wensum",($K34*(IF($K$13="Freely draining",IF($K$14="550-575",IF($K$15="Yes",'Data Tables'!S12,'Data Tables'!T12),IF($K$14="575-600",IF($K$15="Yes",'Data Tables'!S12,'Data Tables'!T12),IF($K$14="600-625",IF($K$15="Yes",'Data Tables'!Y12,'Data Tables'!Z12),IF($K$14="625-650",IF($K$15="Yes",'Data Tables'!Y12,'Data Tables'!Z12),IF($K$14="650-675",IF($K$15="Yes",'Data Tables'!Y12,'Data Tables'!Z12),IF($K$14="675-700",IF($K$15="Yes",'Data Tables'!Y12,'Data Tables'!Z12),IF($K$14="700-750",IF($K$15="Yes",'Data Tables'!AE12,'Data Tables'!AF12),IF($K$14="750-800",IF($K$15="Yes",'Data Tables'!AE12,'Data Tables'!AF12),IF($K$14="800-850",IF($K$15="Yes",'Data Tables'!AE12,'Data Tables'!AF12),IF($K$15="Yes",'Data Tables'!Y12,'Data Tables'!Z12)))))))))),IF($K$13="Impermeable - drained for arable",IF($K$14="550-575",IF($K$15="Yes",'Data Tables'!U12,'Data Tables'!V12),IF($K$14="575-600",IF($K$15="Yes",'Data Tables'!U12,'Data Tables'!V12),IF($K$14="600-625",IF($K$15="Yes",'Data Tables'!AA12,'Data Tables'!AB12),IF($K$14="625-650",IF($K$15="Yes",'Data Tables'!AA12,'Data Tables'!AB12),IF($K$14="650-675",IF($K$15="Yes",'Data Tables'!AA12,'Data Tables'!AB12),IF($K$14="675-700",IF($K$15="Yes",'Data Tables'!AA12,'Data Tables'!AB12),IF($K$14="700-750",IF($K$15="Yes",'Data Tables'!AG12,'Data Tables'!AH12),IF($K$14="750-800",IF($K$15="Yes",'Data Tables'!AG12,'Data Tables'!AH12),IF($K$14="800-850",IF($K$15="Yes",'Data Tables'!AG12,'Data Tables'!AH12),IF($K$15="Yes",'Data Tables'!AG12,'Data Tables'!AH12)))))))))),IF($K$14="550-575",IF($K$15="Yes",'Data Tables'!W12,'Data Tables'!X12),IF($K$14="575-600",IF($K$15="Yes",'Data Tables'!W12,'Data Tables'!X12),IF($K$14="600-625",IF($K$15="Yes",'Data Tables'!AC12,'Data Tables'!AD12),IF($K$14="625-650",IF($K$15="Yes",'Data Tables'!AC12,'Data Tables'!AD12),IF($K$14="650-675",IF($K$15="Yes",'Data Tables'!AC12,'Data Tables'!AD12),IF($K$14="675-700",IF($K$15="Yes",'Data Tables'!AC12,'Data Tables'!AD12),IF($K$14="700-750",IF($K$15="Yes",'Data Tables'!AI12,'Data Tables'!AJ12),IF($K$14="750-800",IF($K$15="Yes",'Data Tables'!AI12,'Data Tables'!AJ12),IF($K$14="800-850",IF($K$15="Yes",'Data Tables'!AI12,'Data Tables'!AJ12),IF($K$15="Yes",'Data Tables'!AI12,'Data Tables'!AJ12)))))))))))))),IF($K$12="Yare",($K34*(IF($K$13="Freely draining",IF($K$14="550-575",IF($K$15="Yes",'Data Tables'!S23,'Data Tables'!T23),IF($K$14="575-600",IF($K$15="Yes",'Data Tables'!S23,'Data Tables'!T23),IF($K$14="600-625",IF($K$15="Yes",'Data Tables'!Y23,'Data Tables'!Z23),IF($K$14="625-650",IF($K$15="Yes",'Data Tables'!Y23,'Data Tables'!Z23),IF($K$14="650-675",IF($K$15="Yes",'Data Tables'!Y23,'Data Tables'!Z23),IF($K$14="675-700",IF($K$15="Yes",'Data Tables'!Y23,'Data Tables'!Z23),IF($K$14="700-750",IF($K$15="Yes",'Data Tables'!AE23,'Data Tables'!AF23),IF($K$14="750-800",IF($K$15="Yes",'Data Tables'!AE23,'Data Tables'!AF23),IF($K$14="800-850",IF($K$15="Yes",'Data Tables'!AE23,'Data Tables'!AF23),IF($K$15="Yes",'Data Tables'!AE23,'Data Tables'!AF23)))))))))),IF($K$13="Impermeable - drained for arable",IF($K$14="550-575",IF($K$15="Yes",'Data Tables'!U23,'Data Tables'!V23),IF($K$14="575-600",IF($K$15="Yes",'Data Tables'!U23,'Data Tables'!V23),IF($K$14="600-625",IF($K$15="Yes",'Data Tables'!AA23,'Data Tables'!AB23),IF($K$14="625-650",IF($K$15="Yes",'Data Tables'!AA23,'Data Tables'!AB23),IF($K$14="650-675",IF($K$15="Yes",'Data Tables'!AA23,'Data Tables'!AB23),IF($K$14="675-700",IF($K$15="Yes",'Data Tables'!AA23,'Data Tables'!AB23),IF($K$14="700-750",IF($K$15="Yes",'Data Tables'!AG23,'Data Tables'!AH23),IF($K$14="750-800",IF($K$15="Yes",'Data Tables'!AG23,'Data Tables'!AH23),IF($K$14="800-850",IF($K$15="Yes",'Data Tables'!AG23,'Data Tables'!AH23),IF($K$15="Yes",'Data Tables'!AG23,'Data Tables'!AH23)))))))))),IF($K$14="550-575",IF($K$15="Yes",'Data Tables'!W23,'Data Tables'!X23),IF($K$14="575-600",IF($K$15="Yes",'Data Tables'!W23,'Data Tables'!X23),IF($K$14="600-625",IF($K$15="Yes",'Data Tables'!AC23,'Data Tables'!AD23),IF($K$14="625-650",IF($K$15="Yes",'Data Tables'!AC23,'Data Tables'!AD23),IF($K$14="650-675",IF($K$15="Yes",'Data Tables'!AC23,'Data Tables'!AD23),IF($K$14="675-700",IF($K$15="Yes",'Data Tables'!AC23,'Data Tables'!AD23),IF($K$14="700-750",IF($K$15="Yes",'Data Tables'!AI23,'Data Tables'!AJ23),IF($K$14="750-800",IF($K$15="Yes",'Data Tables'!AI23,'Data Tables'!AJ23),IF($K$14="800-850",IF($K$15="Yes",'Data Tables'!AI23,'Data Tables'!AJ23),IF($K$15="Yes",'Data Tables'!AI23,'Data Tables'!AJ23)))))))))))))),($K34*(IF($K$13="Freely draining",IF($K$14="550-575",IF($K$15="Yes",'Data Tables'!S34,'Data Tables'!T34),IF($K$14="575-600",IF($K$15="Yes",'Data Tables'!S34,'Data Tables'!T34),IF($K$14="600-625",IF($K$15="Yes",'Data Tables'!Y34,'Data Tables'!Z34),IF($K$14="625-650",IF($K$15="Yes",'Data Tables'!Y34,'Data Tables'!Z34),IF($K$14="650-675",IF($K$15="Yes",'Data Tables'!Y34,'Data Tables'!Z34),IF($K$14="675-700",IF($K$15="Yes",'Data Tables'!Y34,'Data Tables'!Z34),IF($K$14="700-750",IF($K$15="Yes",'Data Tables'!AE34,'Data Tables'!AF34),IF($K$14="750-800",IF($K$15="Yes",'Data Tables'!AE34,'Data Tables'!AF34),IF($K$14="800-850",IF($K$15="Yes",'Data Tables'!AE34,'Data Tables'!AF34),IF($K$15="Yes",'Data Tables'!AE34,'Data Tables'!AF34)))))))))),IF($K$13="Impermeable - drained for arable",IF($K$14="550-575",IF($K$15="Yes",'Data Tables'!U34,'Data Tables'!V34),IF($K$14="575-600",IF($K$15="Yes",'Data Tables'!U34,'Data Tables'!V34),IF($K$14="600-625",IF($K$15="Yes",'Data Tables'!AA34,'Data Tables'!AB34),IF($K$14="625-650",IF($K$15="Yes",'Data Tables'!AA34,'Data Tables'!AB34),IF($K$14="650-675",IF($K$15="Yes",'Data Tables'!AA34,'Data Tables'!AB34),IF($K$14="675-700",IF($K$15="Yes",'Data Tables'!AA34,'Data Tables'!AB34),IF($K$14="700-750",IF($K$15="Yes",'Data Tables'!AG34,'Data Tables'!AH34),IF($K$14="750-800",IF($K$15="Yes",'Data Tables'!AG34,'Data Tables'!AH34),IF($K$14="800-850",IF($K$15="Yes",'Data Tables'!AG34,'Data Tables'!AH34),IF($K$15="Yes",'Data Tables'!AG34,'Data Tables'!AH34)))))))))),IF($K$14="550-575",IF($K$15="Yes",'Data Tables'!W34,'Data Tables'!X34),IF($K$14="575-600",IF($K$15="Yes",'Data Tables'!W34,'Data Tables'!X34),IF($K$14="600-625",IF($K$15="Yes",'Data Tables'!AC34,'Data Tables'!AD34),IF($K$14="625-650",IF($K$15="Yes",'Data Tables'!AC34,'Data Tables'!AD34),IF($K$14="650-675",IF($K$15="Yes",'Data Tables'!AC34,'Data Tables'!AD34),IF($K$14="675-700",IF($K$15="Yes",'Data Tables'!AC34,'Data Tables'!AD34),IF($K$14="700-750",IF($K$15="Yes",'Data Tables'!AI34,'Data Tables'!AJ34),IF($K$14="750-800",IF($K$15="Yes",'Data Tables'!AI34,'Data Tables'!AJ34),IF($K$14="800-850",IF($K$15="Yes",'Data Tables'!AI34,'Data Tables'!AJ34),IF($K$15="Yes",'Data Tables'!AI34,'Data Tables'!AJ34))))))))))))))))</f>
        <v>0</v>
      </c>
      <c r="P34" s="284"/>
      <c r="Q34" s="287">
        <f>IF($K$12="Wensum",($K34*(IF($K$13="Freely draining",IF($K$14="550-575",IF($K$15="Yes",'Data Tables'!AM12,'Data Tables'!AN12),IF($K$14="575-600",IF($K$15="Yes",'Data Tables'!AM12,'Data Tables'!AN12),IF($K$14="600-625",IF($K$15="Yes",'Data Tables'!AS12,'Data Tables'!AT12),IF($K$14="625-650",IF($K$15="Yes",'Data Tables'!AS12,'Data Tables'!AT12),IF($K$14="650-675",IF($K$15="Yes",'Data Tables'!AS12,'Data Tables'!AT12),IF($K$14="675-700",IF($K$15="Yes",'Data Tables'!AS12,'Data Tables'!AT12),IF($K$14="700-750",IF($K$15="Yes",'Data Tables'!AY12,'Data Tables'!AZ12),IF($K$14="750-800",IF($K$15="Yes",'Data Tables'!AY12,'Data Tables'!AZ12),IF($K$14="800-850",IF($K$15="Yes",'Data Tables'!AY12,'Data Tables'!AZ12),IF($K$15="Yes",'Data Tables'!AS12,'Data Tables'!AT12)))))))))),IF($K$13="Impermeable - drained for arable",IF($K$14="550-575",IF($K$15="Yes",'Data Tables'!AO12,'Data Tables'!AP12),IF($K$14="575-600",IF($K$15="Yes",'Data Tables'!AO12,'Data Tables'!AP12),IF($K$14="600-625",IF($K$15="Yes",'Data Tables'!AU12,'Data Tables'!AV12),IF($K$14="625-650",IF($K$15="Yes",'Data Tables'!AU12,'Data Tables'!AV12),IF($K$14="650-675",IF($K$15="Yes",'Data Tables'!AU12,'Data Tables'!AV12),IF($K$14="675-700",IF($K$15="Yes",'Data Tables'!AU12,'Data Tables'!AV12),IF($K$14="700-750",IF($K$15="Yes",'Data Tables'!BA12,'Data Tables'!BB12),IF($K$14="750-800",IF($K$15="Yes",'Data Tables'!BA12,'Data Tables'!BB12),IF($K$14="800-850",IF($K$15="Yes",'Data Tables'!BA12,'Data Tables'!BB12),IF($K$15="Yes",'Data Tables'!BA12,'Data Tables'!BB12)))))))))),IF($K$14="550-575",IF($K$15="Yes",'Data Tables'!AQ12,'Data Tables'!AR12),IF($K$14="575-600",IF($K$15="Yes",'Data Tables'!AQ12,'Data Tables'!AR12),IF($K$14="600-625",IF($K$15="Yes",'Data Tables'!AW12,'Data Tables'!AX12),IF($K$14="625-650",IF($K$15="Yes",'Data Tables'!AW12,'Data Tables'!AX12),IF($K$14="650-675",IF($K$15="Yes",'Data Tables'!AW12,'Data Tables'!AX12),IF($K$14="675-700",IF($K$15="Yes",'Data Tables'!AW12,'Data Tables'!AX12),IF($K$14="700-750",IF($K$15="Yes",'Data Tables'!BC12,'Data Tables'!BD12),IF($K$14="750-800",IF($K$15="Yes",'Data Tables'!BC12,'Data Tables'!BD12),IF($K$14="800-850",IF($K$15="Yes",'Data Tables'!BC12,'Data Tables'!BD12),IF($K$15="Yes",'Data Tables'!BC12,'Data Tables'!BD12)))))))))))))),IF($K$12="Yare",($K34*(IF($K$13="Freely draining",IF($K$14="550-575",IF($K$15="Yes",'Data Tables'!AM23,'Data Tables'!AN23),IF($K$14="575-600",IF($K$15="Yes",'Data Tables'!AM23,'Data Tables'!AN23),IF($K$14="600-625",IF($K$15="Yes",'Data Tables'!AS23,'Data Tables'!AT23),IF($K$14="625-650",IF($K$15="Yes",'Data Tables'!AS23,'Data Tables'!AT23),IF($K$14="650-675",IF($K$15="Yes",'Data Tables'!AS23,'Data Tables'!AT23),IF($K$14="675-700",IF($K$15="Yes",'Data Tables'!AS23,'Data Tables'!AT23),IF($K$14="700-750",IF($K$15="Yes",'Data Tables'!AY23,'Data Tables'!AZ23),IF($K$14="750-800",IF($K$15="Yes",'Data Tables'!AY23,'Data Tables'!AZ23),IF($K$14="800-850",IF($K$15="Yes",'Data Tables'!AY23,'Data Tables'!AZ23),IF($K$15="Yes",'Data Tables'!AY23,'Data Tables'!AZ23)))))))))),IF($K$13="Impermeable - drained for arable",IF($K$14="550-575",IF($K$15="Yes",'Data Tables'!AO23,'Data Tables'!AP23),IF($K$14="575-600",IF($K$15="Yes",'Data Tables'!AO23,'Data Tables'!AP23),IF($K$14="600-625",IF($K$15="Yes",'Data Tables'!AU23,'Data Tables'!AV23),IF($K$14="625-650",IF($K$15="Yes",'Data Tables'!AU23,'Data Tables'!AV23),IF($K$14="650-675",IF($K$15="Yes",'Data Tables'!AU23,'Data Tables'!AV23),IF($K$14="675-700",IF($K$15="Yes",'Data Tables'!AU23,'Data Tables'!AV23),IF($K$14="700-750",IF($K$15="Yes",'Data Tables'!BA23,'Data Tables'!BB23),IF($K$14="750-800",IF($K$15="Yes",'Data Tables'!BA23,'Data Tables'!BB23),IF($K$14="800-850",IF($K$15="Yes",'Data Tables'!BA23,'Data Tables'!BB23),IF($K$15="Yes",'Data Tables'!BA23,'Data Tables'!BB23)))))))))),IF($K$14="550-575",IF($K$15="Yes",'Data Tables'!AQ23,'Data Tables'!AR23),IF($K$14="575-600",IF($K$15="Yes",'Data Tables'!AQ23,'Data Tables'!AR23),IF($K$14="600-625",IF($K$15="Yes",'Data Tables'!AW23,'Data Tables'!AX23),IF($K$14="625-650",IF($K$15="Yes",'Data Tables'!AW23,'Data Tables'!AX23),IF($K$14="650-675",IF($K$15="Yes",'Data Tables'!AW23,'Data Tables'!AX23),IF($K$14="675-700",IF($K$15="Yes",'Data Tables'!AW23,'Data Tables'!AX23),IF($K$14="700-750",IF($K$15="Yes",'Data Tables'!BC23,'Data Tables'!BD23),IF($K$14="750-800",IF($K$15="Yes",'Data Tables'!BC23,'Data Tables'!BD23),IF($K$14="800-850",IF($K$15="Yes",'Data Tables'!BC23,'Data Tables'!BD23),IF($K$15="Yes",'Data Tables'!BC23,'Data Tables'!BD23)))))))))))))),($K34*(IF($K$13="Freely draining",IF($K$14="550-575",IF($K$15="Yes",'Data Tables'!AM34,'Data Tables'!AN34),IF($K$14="575-600",IF($K$15="Yes",'Data Tables'!AM34,'Data Tables'!AN34),IF($K$14="600-625",IF($K$15="Yes",'Data Tables'!AS34,'Data Tables'!AT34),IF($K$14="625-650",IF($K$15="Yes",'Data Tables'!AS34,'Data Tables'!AT34),IF($K$14="650-675",IF($K$15="Yes",'Data Tables'!AS34,'Data Tables'!AT34),IF($K$14="675-700",IF($K$15="Yes",'Data Tables'!AS34,'Data Tables'!AT34),IF($K$14="700-750",IF($K$15="Yes",'Data Tables'!AY34,'Data Tables'!AZ34),IF($K$14="750-800",IF($K$15="Yes",'Data Tables'!AY34,'Data Tables'!AZ34),IF($K$14="800-850",IF($K$15="Yes",'Data Tables'!AY34,'Data Tables'!AZ34),IF($K$15="Yes",'Data Tables'!AY34,'Data Tables'!AZ34)))))))))),IF($K$13="Impermeable - drained for arable",IF($K$14="550-575",IF($K$15="Yes",'Data Tables'!AO34,'Data Tables'!AP34),IF($K$14="575-600",IF($K$15="Yes",'Data Tables'!AO34,'Data Tables'!AP34),IF($K$14="600-625",IF($K$15="Yes",'Data Tables'!AU34,'Data Tables'!AV34),IF($K$14="625-650",IF($K$15="Yes",'Data Tables'!AU34,'Data Tables'!AV34),IF($K$14="650-675",IF($K$15="Yes",'Data Tables'!AU34,'Data Tables'!AV34),IF($K$14="675-700",IF($K$15="Yes",'Data Tables'!AU34,'Data Tables'!AV34),IF($K$14="700-750",IF($K$15="Yes",'Data Tables'!BA34,'Data Tables'!BB34),IF($K$14="750-800",IF($K$15="Yes",'Data Tables'!BA34,'Data Tables'!BB34),IF($K$14="800-850",IF($K$15="Yes",'Data Tables'!BA34,'Data Tables'!BB34),IF($K$15="Yes",'Data Tables'!BA34,'Data Tables'!BB34)))))))))),IF($K$14="550-575",IF($K$15="Yes",'Data Tables'!AQ34,'Data Tables'!AR34),IF($K$14="575-600",IF($K$15="Yes",'Data Tables'!AQ34,'Data Tables'!AR34),IF($K$14="600-625",IF($K$15="Yes",'Data Tables'!AW34,'Data Tables'!AX34),IF($K$14="625-650",IF($K$15="Yes",'Data Tables'!AW34,'Data Tables'!AX34),IF($K$14="650-675",IF($K$15="Yes",'Data Tables'!AW34,'Data Tables'!AX34),IF($K$14="675-700",IF($K$15="Yes",'Data Tables'!AW34,'Data Tables'!AX34),IF($K$14="700-750",IF($K$15="Yes",'Data Tables'!BC34,'Data Tables'!BD34),IF($K$14="750-800",IF($K$15="Yes",'Data Tables'!BC34,'Data Tables'!BD34),IF($K$14="800-850",IF($K$15="Yes",'Data Tables'!BC34,'Data Tables'!BD34),IF($K$15="Yes",'Data Tables'!BC34,'Data Tables'!BD34))))))))))))))))</f>
        <v>0</v>
      </c>
      <c r="R34" s="288"/>
      <c r="S34" s="49" t="s">
        <v>398</v>
      </c>
      <c r="T34" s="6"/>
      <c r="W34" s="113"/>
      <c r="X34" s="113"/>
      <c r="Y34" s="113"/>
      <c r="Z34" s="113"/>
      <c r="AA34" s="113"/>
      <c r="AB34" s="113"/>
      <c r="AC34" s="113"/>
      <c r="AD34" s="113"/>
      <c r="AE34" s="113"/>
      <c r="AF34" s="113"/>
      <c r="AG34" s="113"/>
      <c r="AH34" s="113"/>
      <c r="AI34" s="113"/>
      <c r="AJ34" s="113"/>
      <c r="AK34" s="113"/>
      <c r="AL34" s="113"/>
      <c r="AM34" s="113"/>
      <c r="AN34" s="113"/>
      <c r="AO34" s="113"/>
      <c r="AQ34" s="113"/>
      <c r="AR34" s="113"/>
      <c r="AS34" s="113"/>
      <c r="AT34" s="113"/>
      <c r="AU34" s="113"/>
      <c r="AV34" s="113"/>
      <c r="AW34" s="113"/>
      <c r="AX34" s="113"/>
      <c r="AY34" s="113"/>
      <c r="AZ34" s="113"/>
      <c r="BA34" s="113"/>
      <c r="BB34" s="113"/>
      <c r="BC34" s="113"/>
    </row>
    <row r="35" spans="2:55" ht="14.45" customHeight="1" x14ac:dyDescent="0.25">
      <c r="B35" s="4"/>
      <c r="C35" s="42"/>
      <c r="D35" s="227"/>
      <c r="E35" s="49"/>
      <c r="F35" s="374" t="str">
        <f>'Data Tables'!N3</f>
        <v>Allotments and city farms</v>
      </c>
      <c r="G35" s="374"/>
      <c r="H35" s="374"/>
      <c r="I35" s="374"/>
      <c r="J35" s="374"/>
      <c r="K35" s="282"/>
      <c r="L35" s="240" t="s">
        <v>17</v>
      </c>
      <c r="M35" s="49"/>
      <c r="N35" s="49"/>
      <c r="O35" s="287">
        <f>IF($K$12="Wensum",($K35*(IF($K$13="Freely draining",IF($K$14="550-575",IF($K$15="Yes",'Data Tables'!S13,'Data Tables'!T13),IF($K$14="575-600",IF($K$15="Yes",'Data Tables'!S13,'Data Tables'!T13),IF($K$14="600-625",IF($K$15="Yes",'Data Tables'!Y13,'Data Tables'!Z13),IF($K$14="625-650",IF($K$15="Yes",'Data Tables'!Y13,'Data Tables'!Z13),IF($K$14="650-675",IF($K$15="Yes",'Data Tables'!Y13,'Data Tables'!Z13),IF($K$14="675-700",IF($K$15="Yes",'Data Tables'!Y13,'Data Tables'!Z13),IF($K$14="700-750",IF($K$15="Yes",'Data Tables'!AE13,'Data Tables'!AF13),IF($K$14="750-800",IF($K$15="Yes",'Data Tables'!AE13,'Data Tables'!AF13),IF($K$14="800-850",IF($K$15="Yes",'Data Tables'!AE13,'Data Tables'!AF13),IF($K$15="Yes",'Data Tables'!Y13,'Data Tables'!Z13)))))))))),IF($K$13="Impermeable - drained for arable",IF($K$14="550-575",IF($K$15="Yes",'Data Tables'!U13,'Data Tables'!V13),IF($K$14="575-600",IF($K$15="Yes",'Data Tables'!U13,'Data Tables'!V13),IF($K$14="600-625",IF($K$15="Yes",'Data Tables'!AA13,'Data Tables'!AB13),IF($K$14="625-650",IF($K$15="Yes",'Data Tables'!AA13,'Data Tables'!AB13),IF($K$14="650-675",IF($K$15="Yes",'Data Tables'!AA13,'Data Tables'!AB13),IF($K$14="675-700",IF($K$15="Yes",'Data Tables'!AA13,'Data Tables'!AB13),IF($K$14="700-750",IF($K$15="Yes",'Data Tables'!AG13,'Data Tables'!AH13),IF($K$14="750-800",IF($K$15="Yes",'Data Tables'!AG13,'Data Tables'!AH13),IF($K$14="800-850",IF($K$15="Yes",'Data Tables'!AG13,'Data Tables'!AH13),IF($K$15="Yes",'Data Tables'!AG13,'Data Tables'!AH13)))))))))),IF($K$14="550-575",IF($K$15="Yes",'Data Tables'!W13,'Data Tables'!X13),IF($K$14="575-600",IF($K$15="Yes",'Data Tables'!W13,'Data Tables'!X13),IF($K$14="600-625",IF($K$15="Yes",'Data Tables'!AC13,'Data Tables'!AD13),IF($K$14="625-650",IF($K$15="Yes",'Data Tables'!AC13,'Data Tables'!AD13),IF($K$14="650-675",IF($K$15="Yes",'Data Tables'!AC13,'Data Tables'!AD13),IF($K$14="675-700",IF($K$15="Yes",'Data Tables'!AC13,'Data Tables'!AD13),IF($K$14="700-750",IF($K$15="Yes",'Data Tables'!AI13,'Data Tables'!AJ13),IF($K$14="750-800",IF($K$15="Yes",'Data Tables'!AI13,'Data Tables'!AJ13),IF($K$14="800-850",IF($K$15="Yes",'Data Tables'!AI13,'Data Tables'!AJ13),IF($K$15="Yes",'Data Tables'!AI13,'Data Tables'!AJ13)))))))))))))),IF($K$12="Yare",($K35*(IF($K$13="Freely draining",IF($K$14="550-575",IF($K$15="Yes",'Data Tables'!S24,'Data Tables'!T24),IF($K$14="575-600",IF($K$15="Yes",'Data Tables'!S24,'Data Tables'!T24),IF($K$14="600-625",IF($K$15="Yes",'Data Tables'!Y24,'Data Tables'!Z24),IF($K$14="625-650",IF($K$15="Yes",'Data Tables'!Y24,'Data Tables'!Z24),IF($K$14="650-675",IF($K$15="Yes",'Data Tables'!Y24,'Data Tables'!Z24),IF($K$14="675-700",IF($K$15="Yes",'Data Tables'!Y24,'Data Tables'!Z24),IF($K$14="700-750",IF($K$15="Yes",'Data Tables'!AE24,'Data Tables'!AF24),IF($K$14="750-800",IF($K$15="Yes",'Data Tables'!AE24,'Data Tables'!AF24),IF($K$14="800-850",IF($K$15="Yes",'Data Tables'!AE24,'Data Tables'!AF24),IF($K$15="Yes",'Data Tables'!AE24,'Data Tables'!AF24)))))))))),IF($K$13="Impermeable - drained for arable",IF($K$14="550-575",IF($K$15="Yes",'Data Tables'!U24,'Data Tables'!V24),IF($K$14="575-600",IF($K$15="Yes",'Data Tables'!U24,'Data Tables'!V24),IF($K$14="600-625",IF($K$15="Yes",'Data Tables'!AA24,'Data Tables'!AB24),IF($K$14="625-650",IF($K$15="Yes",'Data Tables'!AA24,'Data Tables'!AB24),IF($K$14="650-675",IF($K$15="Yes",'Data Tables'!AA24,'Data Tables'!AB24),IF($K$14="675-700",IF($K$15="Yes",'Data Tables'!AA24,'Data Tables'!AB24),IF($K$14="700-750",IF($K$15="Yes",'Data Tables'!AG24,'Data Tables'!AH24),IF($K$14="750-800",IF($K$15="Yes",'Data Tables'!AG24,'Data Tables'!AH24),IF($K$14="800-850",IF($K$15="Yes",'Data Tables'!AG24,'Data Tables'!AH24),IF($K$15="Yes",'Data Tables'!AG24,'Data Tables'!AH24)))))))))),IF($K$14="550-575",IF($K$15="Yes",'Data Tables'!W24,'Data Tables'!X24),IF($K$14="575-600",IF($K$15="Yes",'Data Tables'!W24,'Data Tables'!X24),IF($K$14="600-625",IF($K$15="Yes",'Data Tables'!AC24,'Data Tables'!AD24),IF($K$14="625-650",IF($K$15="Yes",'Data Tables'!AC24,'Data Tables'!AD24),IF($K$14="650-675",IF($K$15="Yes",'Data Tables'!AC24,'Data Tables'!AD24),IF($K$14="675-700",IF($K$15="Yes",'Data Tables'!AC24,'Data Tables'!AD24),IF($K$14="700-750",IF($K$15="Yes",'Data Tables'!AI24,'Data Tables'!AJ24),IF($K$14="750-800",IF($K$15="Yes",'Data Tables'!AI24,'Data Tables'!AJ24),IF($K$14="800-850",IF($K$15="Yes",'Data Tables'!AI24,'Data Tables'!AJ24),IF($K$15="Yes",'Data Tables'!AI24,'Data Tables'!AJ24)))))))))))))),($K35*(IF($K$13="Freely draining",IF($K$14="550-575",IF($K$15="Yes",'Data Tables'!S35,'Data Tables'!T35),IF($K$14="575-600",IF($K$15="Yes",'Data Tables'!S35,'Data Tables'!T35),IF($K$14="600-625",IF($K$15="Yes",'Data Tables'!Y35,'Data Tables'!Z35),IF($K$14="625-650",IF($K$15="Yes",'Data Tables'!Y35,'Data Tables'!Z35),IF($K$14="650-675",IF($K$15="Yes",'Data Tables'!Y35,'Data Tables'!Z35),IF($K$14="675-700",IF($K$15="Yes",'Data Tables'!Y35,'Data Tables'!Z35),IF($K$14="700-750",IF($K$15="Yes",'Data Tables'!AE35,'Data Tables'!AF35),IF($K$14="750-800",IF($K$15="Yes",'Data Tables'!AE35,'Data Tables'!AF35),IF($K$14="800-850",IF($K$15="Yes",'Data Tables'!AE35,'Data Tables'!AF35),IF($K$15="Yes",'Data Tables'!AE35,'Data Tables'!AF35)))))))))),IF($K$13="Impermeable - drained for arable",IF($K$14="550-575",IF($K$15="Yes",'Data Tables'!U35,'Data Tables'!V35),IF($K$14="575-600",IF($K$15="Yes",'Data Tables'!U35,'Data Tables'!V35),IF($K$14="600-625",IF($K$15="Yes",'Data Tables'!AA35,'Data Tables'!AB35),IF($K$14="625-650",IF($K$15="Yes",'Data Tables'!AA35,'Data Tables'!AB35),IF($K$14="650-675",IF($K$15="Yes",'Data Tables'!AA35,'Data Tables'!AB35),IF($K$14="675-700",IF($K$15="Yes",'Data Tables'!AA35,'Data Tables'!AB35),IF($K$14="700-750",IF($K$15="Yes",'Data Tables'!AG35,'Data Tables'!AH35),IF($K$14="750-800",IF($K$15="Yes",'Data Tables'!AG35,'Data Tables'!AH35),IF($K$14="800-850",IF($K$15="Yes",'Data Tables'!AG35,'Data Tables'!AH35),IF($K$15="Yes",'Data Tables'!AG35,'Data Tables'!AH35)))))))))),IF($K$14="550-575",IF($K$15="Yes",'Data Tables'!W35,'Data Tables'!X35),IF($K$14="575-600",IF($K$15="Yes",'Data Tables'!W35,'Data Tables'!X35),IF($K$14="600-625",IF($K$15="Yes",'Data Tables'!AC35,'Data Tables'!AD35),IF($K$14="625-650",IF($K$15="Yes",'Data Tables'!AC35,'Data Tables'!AD35),IF($K$14="650-675",IF($K$15="Yes",'Data Tables'!AC35,'Data Tables'!AD35),IF($K$14="675-700",IF($K$15="Yes",'Data Tables'!AC35,'Data Tables'!AD35),IF($K$14="700-750",IF($K$15="Yes",'Data Tables'!AI35,'Data Tables'!AJ35),IF($K$14="750-800",IF($K$15="Yes",'Data Tables'!AI35,'Data Tables'!AJ35),IF($K$14="800-850",IF($K$15="Yes",'Data Tables'!AI35,'Data Tables'!AJ35),IF($K$15="Yes",'Data Tables'!AI35,'Data Tables'!AJ35))))))))))))))))</f>
        <v>0</v>
      </c>
      <c r="P35" s="289"/>
      <c r="Q35" s="287">
        <f>IF($K$12="Wensum",($K35*(IF($K$13="Freely draining",IF($K$14="550-575",IF($K$15="Yes",'Data Tables'!AM13,'Data Tables'!AN13),IF($K$14="575-600",IF($K$15="Yes",'Data Tables'!AM13,'Data Tables'!AN13),IF($K$14="600-625",IF($K$15="Yes",'Data Tables'!AS13,'Data Tables'!AT13),IF($K$14="625-650",IF($K$15="Yes",'Data Tables'!AS13,'Data Tables'!AT13),IF($K$14="650-675",IF($K$15="Yes",'Data Tables'!AS13,'Data Tables'!AT13),IF($K$14="675-700",IF($K$15="Yes",'Data Tables'!AS13,'Data Tables'!AT13),IF($K$14="700-750",IF($K$15="Yes",'Data Tables'!AY13,'Data Tables'!AZ13),IF($K$14="750-800",IF($K$15="Yes",'Data Tables'!AY13,'Data Tables'!AZ13),IF($K$14="800-850",IF($K$15="Yes",'Data Tables'!AY13,'Data Tables'!AZ13),IF($K$15="Yes",'Data Tables'!AS13,'Data Tables'!AT13)))))))))),IF($K$13="Impermeable - drained for arable",IF($K$14="550-575",IF($K$15="Yes",'Data Tables'!AO13,'Data Tables'!AP13),IF($K$14="575-600",IF($K$15="Yes",'Data Tables'!AO13,'Data Tables'!AP13),IF($K$14="600-625",IF($K$15="Yes",'Data Tables'!AU13,'Data Tables'!AV13),IF($K$14="625-650",IF($K$15="Yes",'Data Tables'!AU13,'Data Tables'!AV13),IF($K$14="650-675",IF($K$15="Yes",'Data Tables'!AU13,'Data Tables'!AV13),IF($K$14="675-700",IF($K$15="Yes",'Data Tables'!AU13,'Data Tables'!AV13),IF($K$14="700-750",IF($K$15="Yes",'Data Tables'!BA13,'Data Tables'!BB13),IF($K$14="750-800",IF($K$15="Yes",'Data Tables'!BA13,'Data Tables'!BB13),IF($K$14="800-850",IF($K$15="Yes",'Data Tables'!BA13,'Data Tables'!BB13),IF($K$15="Yes",'Data Tables'!BA13,'Data Tables'!BB13)))))))))),IF($K$14="550-575",IF($K$15="Yes",'Data Tables'!AQ13,'Data Tables'!AR13),IF($K$14="575-600",IF($K$15="Yes",'Data Tables'!AQ13,'Data Tables'!AR13),IF($K$14="600-625",IF($K$15="Yes",'Data Tables'!AW13,'Data Tables'!AX13),IF($K$14="625-650",IF($K$15="Yes",'Data Tables'!AW13,'Data Tables'!AX13),IF($K$14="650-675",IF($K$15="Yes",'Data Tables'!AW13,'Data Tables'!AX13),IF($K$14="675-700",IF($K$15="Yes",'Data Tables'!AW13,'Data Tables'!AX13),IF($K$14="700-750",IF($K$15="Yes",'Data Tables'!BC13,'Data Tables'!BD13),IF($K$14="750-800",IF($K$15="Yes",'Data Tables'!BC13,'Data Tables'!BD13),IF($K$14="800-850",IF($K$15="Yes",'Data Tables'!BC13,'Data Tables'!BD13),IF($K$15="Yes",'Data Tables'!BC13,'Data Tables'!BD13)))))))))))))),IF($K$12="Yare",($K35*(IF($K$13="Freely draining",IF($K$14="550-575",IF($K$15="Yes",'Data Tables'!AM24,'Data Tables'!AN24),IF($K$14="575-600",IF($K$15="Yes",'Data Tables'!AM24,'Data Tables'!AN24),IF($K$14="600-625",IF($K$15="Yes",'Data Tables'!AS24,'Data Tables'!AT24),IF($K$14="625-650",IF($K$15="Yes",'Data Tables'!AS24,'Data Tables'!AT24),IF($K$14="650-675",IF($K$15="Yes",'Data Tables'!AS24,'Data Tables'!AT24),IF($K$14="675-700",IF($K$15="Yes",'Data Tables'!AS24,'Data Tables'!AT24),IF($K$14="700-750",IF($K$15="Yes",'Data Tables'!AY24,'Data Tables'!AZ24),IF($K$14="750-800",IF($K$15="Yes",'Data Tables'!AY24,'Data Tables'!AZ24),IF($K$14="800-850",IF($K$15="Yes",'Data Tables'!AY24,'Data Tables'!AZ24),IF($K$15="Yes",'Data Tables'!AY24,'Data Tables'!AZ24)))))))))),IF($K$13="Impermeable - drained for arable",IF($K$14="550-575",IF($K$15="Yes",'Data Tables'!AO24,'Data Tables'!AP24),IF($K$14="575-600",IF($K$15="Yes",'Data Tables'!AO24,'Data Tables'!AP24),IF($K$14="600-625",IF($K$15="Yes",'Data Tables'!AU24,'Data Tables'!AV24),IF($K$14="625-650",IF($K$15="Yes",'Data Tables'!AU24,'Data Tables'!AV24),IF($K$14="650-675",IF($K$15="Yes",'Data Tables'!AU24,'Data Tables'!AV24),IF($K$14="675-700",IF($K$15="Yes",'Data Tables'!AU24,'Data Tables'!AV24),IF($K$14="700-750",IF($K$15="Yes",'Data Tables'!BA24,'Data Tables'!BB24),IF($K$14="750-800",IF($K$15="Yes",'Data Tables'!BA24,'Data Tables'!BB24),IF($K$14="800-850",IF($K$15="Yes",'Data Tables'!BA24,'Data Tables'!BB24),IF($K$15="Yes",'Data Tables'!BA24,'Data Tables'!BB24)))))))))),IF($K$14="550-575",IF($K$15="Yes",'Data Tables'!AQ24,'Data Tables'!AR24),IF($K$14="575-600",IF($K$15="Yes",'Data Tables'!AQ24,'Data Tables'!AR24),IF($K$14="600-625",IF($K$15="Yes",'Data Tables'!AW24,'Data Tables'!AX24),IF($K$14="625-650",IF($K$15="Yes",'Data Tables'!AW24,'Data Tables'!AX24),IF($K$14="650-675",IF($K$15="Yes",'Data Tables'!AW24,'Data Tables'!AX24),IF($K$14="675-700",IF($K$15="Yes",'Data Tables'!AW24,'Data Tables'!AX24),IF($K$14="700-750",IF($K$15="Yes",'Data Tables'!BC24,'Data Tables'!BD24),IF($K$14="750-800",IF($K$15="Yes",'Data Tables'!BC24,'Data Tables'!BD24),IF($K$14="800-850",IF($K$15="Yes",'Data Tables'!BC24,'Data Tables'!BD24),IF($K$15="Yes",'Data Tables'!BC24,'Data Tables'!BD24)))))))))))))),($K35*(IF($K$13="Freely draining",IF($K$14="550-575",IF($K$15="Yes",'Data Tables'!AM35,'Data Tables'!AN35),IF($K$14="575-600",IF($K$15="Yes",'Data Tables'!AM35,'Data Tables'!AN35),IF($K$14="600-625",IF($K$15="Yes",'Data Tables'!AS35,'Data Tables'!AT35),IF($K$14="625-650",IF($K$15="Yes",'Data Tables'!AS35,'Data Tables'!AT35),IF($K$14="650-675",IF($K$15="Yes",'Data Tables'!AS35,'Data Tables'!AT35),IF($K$14="675-700",IF($K$15="Yes",'Data Tables'!AS35,'Data Tables'!AT35),IF($K$14="700-750",IF($K$15="Yes",'Data Tables'!AY35,'Data Tables'!AZ35),IF($K$14="750-800",IF($K$15="Yes",'Data Tables'!AY35,'Data Tables'!AZ35),IF($K$14="800-850",IF($K$15="Yes",'Data Tables'!AY35,'Data Tables'!AZ35),IF($K$15="Yes",'Data Tables'!AY35,'Data Tables'!AZ35)))))))))),IF($K$13="Impermeable - drained for arable",IF($K$14="550-575",IF($K$15="Yes",'Data Tables'!AO35,'Data Tables'!AP35),IF($K$14="575-600",IF($K$15="Yes",'Data Tables'!AO35,'Data Tables'!AP35),IF($K$14="600-625",IF($K$15="Yes",'Data Tables'!AU35,'Data Tables'!AV35),IF($K$14="625-650",IF($K$15="Yes",'Data Tables'!AU35,'Data Tables'!AV35),IF($K$14="650-675",IF($K$15="Yes",'Data Tables'!AU35,'Data Tables'!AV35),IF($K$14="675-700",IF($K$15="Yes",'Data Tables'!AU35,'Data Tables'!AV35),IF($K$14="700-750",IF($K$15="Yes",'Data Tables'!BA35,'Data Tables'!BB35),IF($K$14="750-800",IF($K$15="Yes",'Data Tables'!BA35,'Data Tables'!BB35),IF($K$14="800-850",IF($K$15="Yes",'Data Tables'!BA35,'Data Tables'!BB35),IF($K$15="Yes",'Data Tables'!BA35,'Data Tables'!BB35)))))))))),IF($K$14="550-575",IF($K$15="Yes",'Data Tables'!AQ35,'Data Tables'!AR35),IF($K$14="575-600",IF($K$15="Yes",'Data Tables'!AQ35,'Data Tables'!AR35),IF($K$14="600-625",IF($K$15="Yes",'Data Tables'!AW35,'Data Tables'!AX35),IF($K$14="625-650",IF($K$15="Yes",'Data Tables'!AW35,'Data Tables'!AX35),IF($K$14="650-675",IF($K$15="Yes",'Data Tables'!AW35,'Data Tables'!AX35),IF($K$14="675-700",IF($K$15="Yes",'Data Tables'!AW35,'Data Tables'!AX35),IF($K$14="700-750",IF($K$15="Yes",'Data Tables'!BC35,'Data Tables'!BD35),IF($K$14="750-800",IF($K$15="Yes",'Data Tables'!BC35,'Data Tables'!BD35),IF($K$14="800-850",IF($K$15="Yes",'Data Tables'!BC35,'Data Tables'!BD35),IF($K$15="Yes",'Data Tables'!BC35,'Data Tables'!BD35))))))))))))))))</f>
        <v>0</v>
      </c>
      <c r="R35" s="288"/>
      <c r="S35" s="49" t="s">
        <v>398</v>
      </c>
      <c r="T35" s="6"/>
      <c r="V35" s="113"/>
      <c r="W35" s="13"/>
      <c r="X35" s="13"/>
      <c r="Y35" s="13"/>
      <c r="Z35" s="13"/>
      <c r="AA35" s="13"/>
      <c r="AB35" s="13"/>
      <c r="AC35" s="13"/>
      <c r="AD35" s="13"/>
      <c r="AE35" s="13"/>
      <c r="AF35" s="13"/>
      <c r="AG35" s="13"/>
      <c r="AH35" s="13"/>
    </row>
    <row r="36" spans="2:55" ht="14.45" customHeight="1" x14ac:dyDescent="0.25">
      <c r="B36" s="4"/>
      <c r="C36" s="42"/>
      <c r="D36" s="227"/>
      <c r="E36" s="49"/>
      <c r="F36" s="374" t="s">
        <v>154</v>
      </c>
      <c r="G36" s="374"/>
      <c r="H36" s="374"/>
      <c r="I36" s="374"/>
      <c r="J36" s="374"/>
      <c r="K36" s="282"/>
      <c r="L36" s="240" t="s">
        <v>17</v>
      </c>
      <c r="M36" s="49"/>
      <c r="N36" s="49"/>
      <c r="O36" s="285">
        <f>K36*'Data Tables'!O5</f>
        <v>0</v>
      </c>
      <c r="P36" s="289"/>
      <c r="Q36" s="285">
        <f>K36*'Data Tables'!P5</f>
        <v>0</v>
      </c>
      <c r="R36" s="286"/>
      <c r="S36" s="49" t="s">
        <v>398</v>
      </c>
      <c r="T36" s="6"/>
      <c r="V36" s="113"/>
    </row>
    <row r="37" spans="2:55" ht="14.45" customHeight="1" x14ac:dyDescent="0.25">
      <c r="B37" s="4"/>
      <c r="C37" s="42"/>
      <c r="D37" s="227"/>
      <c r="E37" s="49"/>
      <c r="F37" s="374" t="s">
        <v>401</v>
      </c>
      <c r="G37" s="374"/>
      <c r="H37" s="374"/>
      <c r="I37" s="374"/>
      <c r="J37" s="374"/>
      <c r="K37" s="282"/>
      <c r="L37" s="240" t="s">
        <v>17</v>
      </c>
      <c r="M37" s="49"/>
      <c r="N37" s="49"/>
      <c r="O37" s="285">
        <f>K37*'Data Tables'!O4</f>
        <v>0</v>
      </c>
      <c r="P37" s="289"/>
      <c r="Q37" s="285">
        <f>K37*'Data Tables'!P4</f>
        <v>0</v>
      </c>
      <c r="R37" s="286"/>
      <c r="S37" s="49" t="s">
        <v>398</v>
      </c>
      <c r="T37" s="6"/>
    </row>
    <row r="38" spans="2:55" ht="14.45" customHeight="1" x14ac:dyDescent="0.25">
      <c r="B38" s="4"/>
      <c r="C38" s="42"/>
      <c r="D38" s="227"/>
      <c r="E38" s="49"/>
      <c r="F38" s="374" t="s">
        <v>235</v>
      </c>
      <c r="G38" s="374"/>
      <c r="H38" s="374"/>
      <c r="I38" s="374"/>
      <c r="J38" s="374"/>
      <c r="K38" s="282"/>
      <c r="L38" s="240" t="s">
        <v>17</v>
      </c>
      <c r="M38" s="49"/>
      <c r="N38" s="49"/>
      <c r="O38" s="285">
        <f>K38*'Data Tables'!O6</f>
        <v>0</v>
      </c>
      <c r="P38" s="289"/>
      <c r="Q38" s="285">
        <f>K38*'Data Tables'!P6</f>
        <v>0</v>
      </c>
      <c r="R38" s="286"/>
      <c r="S38" s="49" t="s">
        <v>398</v>
      </c>
      <c r="T38" s="6"/>
      <c r="W38" s="74"/>
      <c r="X38" s="74"/>
      <c r="Y38" s="74"/>
      <c r="Z38" s="74"/>
      <c r="AA38" s="74"/>
      <c r="AB38" s="74"/>
      <c r="AC38" s="74"/>
      <c r="AD38" s="74"/>
      <c r="AE38" s="74"/>
      <c r="AF38" s="74"/>
      <c r="AG38" s="74"/>
      <c r="AH38" s="74"/>
    </row>
    <row r="39" spans="2:55" ht="14.45" customHeight="1" x14ac:dyDescent="0.25">
      <c r="B39" s="4"/>
      <c r="C39" s="42"/>
      <c r="D39" s="227"/>
      <c r="E39" s="49"/>
      <c r="F39" s="374" t="s">
        <v>400</v>
      </c>
      <c r="G39" s="374"/>
      <c r="H39" s="374"/>
      <c r="I39" s="374"/>
      <c r="J39" s="374"/>
      <c r="K39" s="282"/>
      <c r="L39" s="240" t="s">
        <v>17</v>
      </c>
      <c r="M39" s="49"/>
      <c r="N39" s="49"/>
      <c r="O39" s="285">
        <f>K39*'Data Tables'!O7</f>
        <v>0</v>
      </c>
      <c r="P39" s="289"/>
      <c r="Q39" s="285">
        <f>K39*'Data Tables'!P7</f>
        <v>0</v>
      </c>
      <c r="R39" s="286"/>
      <c r="S39" s="49" t="s">
        <v>398</v>
      </c>
      <c r="T39" s="6"/>
      <c r="W39" s="73"/>
      <c r="X39" s="73"/>
      <c r="Y39" s="73"/>
      <c r="Z39" s="73"/>
      <c r="AA39" s="73"/>
      <c r="AB39" s="73"/>
      <c r="AC39" s="73"/>
      <c r="AD39" s="73"/>
      <c r="AE39" s="73"/>
      <c r="AF39" s="73"/>
      <c r="AG39" s="73"/>
      <c r="AH39" s="73"/>
      <c r="AI39" s="73"/>
    </row>
    <row r="40" spans="2:55" ht="7.5" customHeight="1" x14ac:dyDescent="0.25">
      <c r="B40" s="4"/>
      <c r="C40" s="42"/>
      <c r="D40" s="227"/>
      <c r="E40" s="49"/>
      <c r="F40" s="438" t="s">
        <v>399</v>
      </c>
      <c r="G40" s="438"/>
      <c r="H40" s="438"/>
      <c r="I40" s="438"/>
      <c r="J40" s="438"/>
      <c r="K40" s="49"/>
      <c r="L40" s="240"/>
      <c r="M40" s="49"/>
      <c r="N40" s="49"/>
      <c r="O40" s="49"/>
      <c r="P40" s="49"/>
      <c r="Q40" s="49"/>
      <c r="R40" s="286"/>
      <c r="S40" s="49"/>
      <c r="T40" s="6"/>
      <c r="W40" s="13"/>
      <c r="X40" s="13"/>
      <c r="Y40" s="13"/>
      <c r="Z40" s="13"/>
      <c r="AA40" s="13"/>
      <c r="AB40" s="13"/>
      <c r="AC40" s="13"/>
      <c r="AD40" s="13"/>
      <c r="AE40" s="13"/>
      <c r="AF40" s="13"/>
      <c r="AG40" s="13"/>
      <c r="AH40" s="13"/>
    </row>
    <row r="41" spans="2:55" ht="15.75" x14ac:dyDescent="0.25">
      <c r="B41" s="4"/>
      <c r="C41" s="42"/>
      <c r="D41" s="227"/>
      <c r="E41" s="49"/>
      <c r="F41" s="438"/>
      <c r="G41" s="438"/>
      <c r="H41" s="438"/>
      <c r="I41" s="438"/>
      <c r="J41" s="438"/>
      <c r="K41" s="290">
        <f>SUM(K22:K39)</f>
        <v>4.6500000000000004</v>
      </c>
      <c r="L41" s="246" t="s">
        <v>17</v>
      </c>
      <c r="M41" s="49"/>
      <c r="N41" s="49"/>
      <c r="O41" s="291">
        <f>SUM(O22:O39)</f>
        <v>4.7974221873437868</v>
      </c>
      <c r="P41" s="49"/>
      <c r="Q41" s="291">
        <f>SUM(Q22:Q39)</f>
        <v>30.518342152301855</v>
      </c>
      <c r="R41" s="292"/>
      <c r="S41" s="38" t="s">
        <v>398</v>
      </c>
      <c r="T41" s="6"/>
      <c r="W41" s="13"/>
      <c r="X41" s="13"/>
      <c r="Y41" s="13"/>
      <c r="Z41" s="13"/>
      <c r="AA41" s="13"/>
      <c r="AB41" s="13"/>
      <c r="AC41" s="13"/>
      <c r="AD41" s="13"/>
      <c r="AE41" s="13"/>
      <c r="AF41" s="13"/>
      <c r="AG41" s="13"/>
      <c r="AH41" s="13"/>
    </row>
    <row r="42" spans="2:55" ht="15.75" x14ac:dyDescent="0.25">
      <c r="B42" s="4"/>
      <c r="C42" s="42"/>
      <c r="D42" s="227"/>
      <c r="E42" s="49"/>
      <c r="F42" s="49"/>
      <c r="G42" s="49"/>
      <c r="H42" s="49"/>
      <c r="I42" s="49"/>
      <c r="J42" s="49"/>
      <c r="K42" s="49"/>
      <c r="L42" s="49"/>
      <c r="M42" s="49"/>
      <c r="N42" s="49"/>
      <c r="O42" s="49"/>
      <c r="P42" s="49"/>
      <c r="Q42" s="49"/>
      <c r="R42" s="49"/>
      <c r="S42" s="49"/>
      <c r="T42" s="6"/>
      <c r="V42" s="13"/>
      <c r="W42" s="13"/>
      <c r="X42" s="13"/>
      <c r="Y42" s="13"/>
      <c r="Z42" s="13"/>
      <c r="AA42" s="13"/>
      <c r="AB42" s="13"/>
      <c r="AC42" s="13"/>
      <c r="AD42" s="13"/>
      <c r="AE42" s="13"/>
      <c r="AF42" s="13"/>
      <c r="AG42" s="13"/>
      <c r="AH42" s="13"/>
    </row>
    <row r="43" spans="2:55" ht="8.1" customHeight="1" x14ac:dyDescent="0.25">
      <c r="B43" s="4"/>
      <c r="C43" s="42"/>
      <c r="D43" s="227"/>
      <c r="E43" s="270"/>
      <c r="F43" s="270"/>
      <c r="G43" s="270"/>
      <c r="H43" s="270"/>
      <c r="I43" s="270"/>
      <c r="J43" s="270"/>
      <c r="K43" s="270"/>
      <c r="L43" s="270"/>
      <c r="M43" s="270"/>
      <c r="N43" s="270"/>
      <c r="O43" s="270"/>
      <c r="P43" s="270"/>
      <c r="Q43" s="270"/>
      <c r="R43" s="270"/>
      <c r="S43" s="270"/>
      <c r="T43" s="6"/>
      <c r="W43" s="13"/>
      <c r="X43" s="13"/>
      <c r="Y43" s="13"/>
      <c r="Z43" s="13"/>
      <c r="AA43" s="13"/>
      <c r="AB43" s="13"/>
      <c r="AC43" s="13"/>
      <c r="AD43" s="13"/>
      <c r="AE43" s="13"/>
      <c r="AF43" s="13"/>
      <c r="AG43" s="13"/>
      <c r="AH43" s="13"/>
    </row>
    <row r="44" spans="2:55" ht="23.45" customHeight="1" x14ac:dyDescent="0.25">
      <c r="B44" s="4"/>
      <c r="C44" s="42"/>
      <c r="D44" s="227"/>
      <c r="E44" s="48" t="s">
        <v>12</v>
      </c>
      <c r="F44" s="49" t="s">
        <v>410</v>
      </c>
      <c r="G44" s="49"/>
      <c r="H44" s="49"/>
      <c r="I44" s="49"/>
      <c r="J44" s="49"/>
      <c r="K44" s="237"/>
      <c r="L44" s="237"/>
      <c r="M44" s="237"/>
      <c r="N44" s="237"/>
      <c r="O44" s="237"/>
      <c r="P44" s="237"/>
      <c r="Q44" s="237"/>
      <c r="R44" s="237"/>
      <c r="S44" s="237"/>
      <c r="T44" s="6"/>
      <c r="W44" s="13"/>
      <c r="X44" s="13"/>
      <c r="Y44" s="13"/>
      <c r="Z44" s="13"/>
      <c r="AA44" s="13"/>
      <c r="AB44" s="13"/>
      <c r="AC44" s="13"/>
      <c r="AD44" s="13"/>
      <c r="AE44" s="13"/>
      <c r="AF44" s="13"/>
      <c r="AG44" s="13"/>
      <c r="AH44" s="13"/>
    </row>
    <row r="45" spans="2:55" ht="11.45" customHeight="1" x14ac:dyDescent="0.25">
      <c r="B45" s="4"/>
      <c r="C45" s="42"/>
      <c r="D45" s="227"/>
      <c r="E45" s="48"/>
      <c r="F45" s="49"/>
      <c r="G45" s="49"/>
      <c r="H45" s="49"/>
      <c r="I45" s="49"/>
      <c r="J45" s="49"/>
      <c r="K45" s="144" t="s">
        <v>2</v>
      </c>
      <c r="L45" s="144" t="s">
        <v>3</v>
      </c>
      <c r="M45" s="237"/>
      <c r="N45" s="237"/>
      <c r="O45" s="237"/>
      <c r="P45" s="237"/>
      <c r="Q45" s="237"/>
      <c r="R45" s="237"/>
      <c r="S45" s="237"/>
      <c r="T45" s="6"/>
      <c r="W45" s="13"/>
      <c r="X45" s="13"/>
      <c r="Y45" s="13"/>
      <c r="Z45" s="13"/>
      <c r="AA45" s="13"/>
      <c r="AB45" s="13"/>
      <c r="AC45" s="13"/>
      <c r="AD45" s="13"/>
      <c r="AE45" s="13"/>
      <c r="AF45" s="13"/>
      <c r="AG45" s="13"/>
      <c r="AH45" s="13"/>
    </row>
    <row r="46" spans="2:55" ht="15" customHeight="1" x14ac:dyDescent="0.25">
      <c r="B46" s="4"/>
      <c r="C46" s="42"/>
      <c r="D46" s="227"/>
      <c r="E46" s="49"/>
      <c r="F46" s="382" t="s">
        <v>26</v>
      </c>
      <c r="G46" s="382"/>
      <c r="H46" s="382"/>
      <c r="I46" s="382"/>
      <c r="J46" s="382"/>
      <c r="K46" s="293">
        <f>O41</f>
        <v>4.7974221873437868</v>
      </c>
      <c r="L46" s="246" t="s">
        <v>398</v>
      </c>
      <c r="M46" s="227"/>
      <c r="N46" s="227"/>
      <c r="O46" s="227"/>
      <c r="P46" s="227"/>
      <c r="Q46" s="227"/>
      <c r="R46" s="227"/>
      <c r="S46" s="227"/>
      <c r="T46" s="6"/>
    </row>
    <row r="47" spans="2:55" ht="6" customHeight="1" x14ac:dyDescent="0.25">
      <c r="B47" s="4"/>
      <c r="C47" s="42"/>
      <c r="D47" s="227"/>
      <c r="E47" s="49"/>
      <c r="F47" s="382"/>
      <c r="G47" s="382"/>
      <c r="H47" s="382"/>
      <c r="I47" s="382"/>
      <c r="J47" s="382"/>
      <c r="K47" s="230"/>
      <c r="L47" s="294"/>
      <c r="M47" s="227"/>
      <c r="N47" s="227"/>
      <c r="O47" s="227"/>
      <c r="P47" s="227"/>
      <c r="Q47" s="227"/>
      <c r="R47" s="227"/>
      <c r="S47" s="227"/>
      <c r="T47" s="6"/>
    </row>
    <row r="48" spans="2:55" ht="15.6" customHeight="1" x14ac:dyDescent="0.25">
      <c r="B48" s="4"/>
      <c r="C48" s="42"/>
      <c r="D48" s="227"/>
      <c r="E48" s="49"/>
      <c r="F48" s="382" t="s">
        <v>406</v>
      </c>
      <c r="G48" s="382"/>
      <c r="H48" s="382"/>
      <c r="I48" s="382"/>
      <c r="J48" s="382"/>
      <c r="K48" s="293">
        <f>Q41</f>
        <v>30.518342152301855</v>
      </c>
      <c r="L48" s="246" t="s">
        <v>398</v>
      </c>
      <c r="M48" s="227"/>
      <c r="N48" s="227"/>
      <c r="O48" s="227"/>
      <c r="P48" s="227"/>
      <c r="Q48" s="227"/>
      <c r="R48" s="227"/>
      <c r="S48" s="227"/>
      <c r="T48" s="6"/>
    </row>
    <row r="49" spans="2:20" ht="7.5" customHeight="1" x14ac:dyDescent="0.2">
      <c r="B49" s="4"/>
      <c r="C49" s="42"/>
      <c r="D49" s="42"/>
      <c r="E49" s="39"/>
      <c r="F49" s="72"/>
      <c r="G49" s="72"/>
      <c r="H49" s="72"/>
      <c r="I49" s="72"/>
      <c r="J49" s="72"/>
      <c r="K49" s="42"/>
      <c r="L49" s="42"/>
      <c r="M49" s="42"/>
      <c r="N49" s="42"/>
      <c r="O49" s="42"/>
      <c r="P49" s="42"/>
      <c r="Q49" s="42"/>
      <c r="R49" s="42"/>
      <c r="S49" s="42"/>
      <c r="T49" s="6"/>
    </row>
    <row r="50" spans="2:20" ht="3" customHeight="1" thickBot="1" x14ac:dyDescent="0.25">
      <c r="B50" s="7"/>
      <c r="C50" s="51"/>
      <c r="D50" s="51"/>
      <c r="E50" s="56"/>
      <c r="F50" s="111"/>
      <c r="G50" s="111"/>
      <c r="H50" s="111"/>
      <c r="I50" s="111"/>
      <c r="J50" s="111"/>
      <c r="K50" s="51"/>
      <c r="L50" s="51"/>
      <c r="M50" s="51"/>
      <c r="N50" s="51"/>
      <c r="O50" s="51"/>
      <c r="P50" s="51"/>
      <c r="Q50" s="51"/>
      <c r="R50" s="51"/>
      <c r="S50" s="51"/>
      <c r="T50" s="9"/>
    </row>
  </sheetData>
  <sheetProtection algorithmName="SHA-512" hashValue="WMBPRIqmzSKgAXHEtYl1BhULTU21eDbpgHxqUq6SlXmDGdFbM7L3FkDE1rJzFxVQ7t4cWGJf7fo8KuHblA/qPg==" saltValue="0FcF4J040sTm+3VveZz6cQ==" spinCount="100000" sheet="1" objects="1" scenarios="1" selectLockedCells="1"/>
  <mergeCells count="38">
    <mergeCell ref="AC22:AH22"/>
    <mergeCell ref="AC23:AD23"/>
    <mergeCell ref="AE23:AF23"/>
    <mergeCell ref="AG23:AH23"/>
    <mergeCell ref="F3:M3"/>
    <mergeCell ref="F22:J22"/>
    <mergeCell ref="F23:J23"/>
    <mergeCell ref="E4:S6"/>
    <mergeCell ref="D10:S10"/>
    <mergeCell ref="F24:J24"/>
    <mergeCell ref="F13:J13"/>
    <mergeCell ref="F8:J8"/>
    <mergeCell ref="F12:J12"/>
    <mergeCell ref="F14:J14"/>
    <mergeCell ref="F15:J15"/>
    <mergeCell ref="E18:S18"/>
    <mergeCell ref="E20:S20"/>
    <mergeCell ref="E17:S17"/>
    <mergeCell ref="E19:S19"/>
    <mergeCell ref="F25:J25"/>
    <mergeCell ref="F38:J38"/>
    <mergeCell ref="F27:J27"/>
    <mergeCell ref="F29:J29"/>
    <mergeCell ref="F30:J30"/>
    <mergeCell ref="F31:J31"/>
    <mergeCell ref="F26:J26"/>
    <mergeCell ref="F33:J33"/>
    <mergeCell ref="F34:J34"/>
    <mergeCell ref="F36:J36"/>
    <mergeCell ref="F32:J32"/>
    <mergeCell ref="F35:J35"/>
    <mergeCell ref="F37:J37"/>
    <mergeCell ref="F48:J48"/>
    <mergeCell ref="F28:J28"/>
    <mergeCell ref="F46:J46"/>
    <mergeCell ref="F47:J47"/>
    <mergeCell ref="F40:J41"/>
    <mergeCell ref="F39:J39"/>
  </mergeCells>
  <dataValidations count="4">
    <dataValidation type="list" allowBlank="1" showInputMessage="1" showErrorMessage="1" sqref="K14" xr:uid="{D1AD0D84-DAE2-48CF-8459-2AFE976C8347}">
      <formula1>"550-575,575-600,600-625,625-650,650-675,675-700,700-750,750-800,800-850,850-900"</formula1>
    </dataValidation>
    <dataValidation type="list" allowBlank="1" showInputMessage="1" showErrorMessage="1" sqref="K15" xr:uid="{FE8B5C82-C02A-47B7-8EE2-9179853B1E3E}">
      <formula1>"Yes,No"</formula1>
    </dataValidation>
    <dataValidation type="list" allowBlank="1" showInputMessage="1" showErrorMessage="1" sqref="K13" xr:uid="{95DBBD21-A5BD-40D8-A813-6FA56B6CAA4D}">
      <formula1>"Freely draining, Impermeable - drained for arable, Impermeable - drained for arable and grassland"</formula1>
    </dataValidation>
    <dataValidation type="list" allowBlank="1" showInputMessage="1" showErrorMessage="1" sqref="K12" xr:uid="{9CA65DA3-8EC1-4DE8-A2A5-6475F79E0D5C}">
      <formula1>"Wensum, Yare, Bure"</formula1>
    </dataValidation>
  </dataValidations>
  <hyperlinks>
    <hyperlink ref="E18:M18" location="Help!C98" display="Note: Identify the soil drainage type from the Viewer, and use the criteria table in the Help tab to identify if the soil is either permeable or impermeable" xr:uid="{CF9C6CF2-1BEE-4CA2-BC81-A07A7035BCBA}"/>
    <hyperlink ref="E18:S18" location="Introduction!C180" display="Note: Use the criteria table in the introduction tab to identify if the soil type" xr:uid="{B85ACFA4-B4A4-46C9-B8B2-91237C755DB7}"/>
    <hyperlink ref="E17:S17" location="Introduction!C198" display="Note: Use the Link in the introduction tab to find the appropriate catchment" xr:uid="{AB23DA06-350A-44AA-9C3A-C6CA710476A1}"/>
    <hyperlink ref="E20:S20" location="Introduction!C204" display="Note: Use the Link in the Help tab to Find out whether the development is in a Nitrate Vulnerable Zone (NVZ)" xr:uid="{E2562DBB-4BDA-48B9-91F1-9CC89B9AAFB1}"/>
    <hyperlink ref="E19:S19" location="Rainfall!A1" display="Note: Rainfall can be identified using the map on the Rainfall tab" xr:uid="{E9116748-D9A9-4E5F-8D57-49EBF86E01B5}"/>
  </hyperlinks>
  <pageMargins left="0.70866141732283472" right="0.70866141732283472" top="0.74803149606299213" bottom="0.74803149606299213" header="0.31496062992125984" footer="0.31496062992125984"/>
  <pageSetup paperSize="9" scale="72" orientation="portrait" r:id="rId1"/>
  <headerFooter>
    <oddHeader>&amp;LPhosphate Budget Calculator&amp;CStage 2</oddHeader>
    <oddFooter>&amp;LVersion 2.2&amp;R&amp;D</oddFooter>
  </headerFooter>
  <customProperties>
    <customPr name="SSC_SHEET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16C26-AF18-4444-BA7E-03F79DCDA09D}">
  <sheetPr>
    <tabColor rgb="FFD6F4FE"/>
    <pageSetUpPr fitToPage="1"/>
  </sheetPr>
  <dimension ref="A1:Z40"/>
  <sheetViews>
    <sheetView zoomScale="115" zoomScaleNormal="115" workbookViewId="0">
      <selection activeCell="K10" sqref="K10"/>
    </sheetView>
  </sheetViews>
  <sheetFormatPr defaultRowHeight="12.75" x14ac:dyDescent="0.2"/>
  <cols>
    <col min="2" max="3" width="0.85546875" customWidth="1"/>
    <col min="4" max="4" width="2.28515625" customWidth="1"/>
    <col min="5" max="5" width="8.28515625" customWidth="1"/>
    <col min="9" max="9" width="12.28515625" customWidth="1"/>
    <col min="10" max="10" width="12.140625" customWidth="1"/>
    <col min="11" max="11" width="9.85546875" customWidth="1"/>
    <col min="12" max="12" width="12.5703125" customWidth="1"/>
    <col min="13" max="13" width="5.42578125" customWidth="1"/>
    <col min="14" max="14" width="0.85546875" customWidth="1"/>
  </cols>
  <sheetData>
    <row r="1" spans="1:26" ht="13.5" thickBot="1" x14ac:dyDescent="0.25">
      <c r="A1" s="40" t="s">
        <v>29</v>
      </c>
    </row>
    <row r="2" spans="1:26" ht="3.6" customHeight="1" x14ac:dyDescent="0.2">
      <c r="B2" s="1"/>
      <c r="C2" s="2"/>
      <c r="D2" s="2"/>
      <c r="E2" s="2"/>
      <c r="F2" s="2"/>
      <c r="G2" s="2"/>
      <c r="H2" s="2"/>
      <c r="I2" s="2"/>
      <c r="J2" s="2"/>
      <c r="K2" s="2"/>
      <c r="L2" s="2"/>
      <c r="M2" s="2"/>
      <c r="N2" s="3"/>
    </row>
    <row r="3" spans="1:26" ht="28.5" customHeight="1" x14ac:dyDescent="0.25">
      <c r="B3" s="46"/>
      <c r="C3" s="229"/>
      <c r="D3" s="68"/>
      <c r="E3" s="197" t="s">
        <v>29</v>
      </c>
      <c r="F3" s="433" t="s">
        <v>504</v>
      </c>
      <c r="G3" s="433"/>
      <c r="H3" s="433"/>
      <c r="I3" s="433"/>
      <c r="J3" s="433"/>
      <c r="K3" s="433"/>
      <c r="L3" s="433"/>
      <c r="M3" s="433"/>
      <c r="N3" s="6"/>
    </row>
    <row r="4" spans="1:26" ht="12.6" customHeight="1" x14ac:dyDescent="0.25">
      <c r="B4" s="46"/>
      <c r="C4" s="279"/>
      <c r="D4" s="145"/>
      <c r="E4" s="428" t="s">
        <v>249</v>
      </c>
      <c r="F4" s="428"/>
      <c r="G4" s="428"/>
      <c r="H4" s="428"/>
      <c r="I4" s="428"/>
      <c r="J4" s="428"/>
      <c r="K4" s="428"/>
      <c r="L4" s="428"/>
      <c r="M4" s="428"/>
      <c r="N4" s="6"/>
    </row>
    <row r="5" spans="1:26" ht="15.75" x14ac:dyDescent="0.25">
      <c r="B5" s="46"/>
      <c r="C5" s="279"/>
      <c r="D5" s="145"/>
      <c r="E5" s="428"/>
      <c r="F5" s="428"/>
      <c r="G5" s="428"/>
      <c r="H5" s="428"/>
      <c r="I5" s="428"/>
      <c r="J5" s="428"/>
      <c r="K5" s="428"/>
      <c r="L5" s="428"/>
      <c r="M5" s="428"/>
      <c r="N5" s="6"/>
    </row>
    <row r="6" spans="1:26" ht="50.1" customHeight="1" x14ac:dyDescent="0.25">
      <c r="B6" s="46"/>
      <c r="C6" s="227"/>
      <c r="D6" s="49"/>
      <c r="E6" s="428"/>
      <c r="F6" s="428"/>
      <c r="G6" s="428"/>
      <c r="H6" s="428"/>
      <c r="I6" s="428"/>
      <c r="J6" s="428"/>
      <c r="K6" s="428"/>
      <c r="L6" s="428"/>
      <c r="M6" s="428"/>
      <c r="N6" s="6"/>
    </row>
    <row r="7" spans="1:26" ht="6.95" customHeight="1" x14ac:dyDescent="0.25">
      <c r="B7" s="46"/>
      <c r="C7" s="227"/>
      <c r="D7" s="259"/>
      <c r="E7" s="259"/>
      <c r="F7" s="259"/>
      <c r="G7" s="259"/>
      <c r="H7" s="259"/>
      <c r="I7" s="259"/>
      <c r="J7" s="259"/>
      <c r="K7" s="259"/>
      <c r="L7" s="259"/>
      <c r="M7" s="259"/>
      <c r="N7" s="6"/>
    </row>
    <row r="8" spans="1:26" ht="15.75" x14ac:dyDescent="0.25">
      <c r="B8" s="46"/>
      <c r="C8" s="227"/>
      <c r="D8" s="49"/>
      <c r="E8" s="48" t="s">
        <v>8</v>
      </c>
      <c r="F8" s="374" t="s">
        <v>25</v>
      </c>
      <c r="G8" s="374"/>
      <c r="H8" s="374"/>
      <c r="I8" s="374"/>
      <c r="J8" s="374"/>
      <c r="K8" s="144" t="s">
        <v>2</v>
      </c>
      <c r="L8" s="144" t="s">
        <v>3</v>
      </c>
      <c r="M8" s="49"/>
      <c r="N8" s="6"/>
    </row>
    <row r="9" spans="1:26" ht="12.6" customHeight="1" x14ac:dyDescent="0.25">
      <c r="B9" s="46"/>
      <c r="C9" s="227"/>
      <c r="D9" s="49"/>
      <c r="E9" s="48"/>
      <c r="F9" s="49"/>
      <c r="G9" s="49"/>
      <c r="H9" s="49"/>
      <c r="I9" s="49"/>
      <c r="J9" s="49"/>
      <c r="K9" s="144"/>
      <c r="L9" s="144"/>
      <c r="M9" s="49"/>
      <c r="N9" s="6"/>
    </row>
    <row r="10" spans="1:26" ht="14.1" customHeight="1" x14ac:dyDescent="0.25">
      <c r="B10" s="46"/>
      <c r="C10" s="227"/>
      <c r="D10" s="49"/>
      <c r="E10" s="48"/>
      <c r="F10" s="49" t="s">
        <v>402</v>
      </c>
      <c r="G10" s="49"/>
      <c r="H10" s="49"/>
      <c r="I10" s="49"/>
      <c r="J10" s="49"/>
      <c r="K10" s="282">
        <v>4.6500000000000004</v>
      </c>
      <c r="L10" s="240" t="s">
        <v>17</v>
      </c>
      <c r="M10" s="49"/>
      <c r="N10" s="6"/>
    </row>
    <row r="11" spans="1:26" ht="12.95" customHeight="1" x14ac:dyDescent="0.25">
      <c r="B11" s="46"/>
      <c r="C11" s="227"/>
      <c r="D11" s="49"/>
      <c r="E11" s="48"/>
      <c r="F11" s="49" t="s">
        <v>403</v>
      </c>
      <c r="G11" s="49"/>
      <c r="H11" s="49"/>
      <c r="I11" s="49"/>
      <c r="J11" s="49"/>
      <c r="K11" s="282"/>
      <c r="L11" s="240" t="s">
        <v>17</v>
      </c>
      <c r="M11" s="49"/>
      <c r="N11" s="6"/>
    </row>
    <row r="12" spans="1:26" ht="15.6" customHeight="1" x14ac:dyDescent="0.25">
      <c r="B12" s="46"/>
      <c r="C12" s="227"/>
      <c r="D12" s="49"/>
      <c r="E12" s="48"/>
      <c r="F12" s="49" t="s">
        <v>404</v>
      </c>
      <c r="G12" s="49"/>
      <c r="H12" s="49"/>
      <c r="I12" s="49"/>
      <c r="J12" s="49"/>
      <c r="K12" s="282"/>
      <c r="L12" s="240" t="s">
        <v>17</v>
      </c>
      <c r="M12" s="49"/>
      <c r="N12" s="6"/>
    </row>
    <row r="13" spans="1:26" ht="15" customHeight="1" x14ac:dyDescent="0.25">
      <c r="B13" s="46"/>
      <c r="C13" s="227"/>
      <c r="D13" s="49"/>
      <c r="E13" s="49"/>
      <c r="F13" s="374" t="s">
        <v>475</v>
      </c>
      <c r="G13" s="374"/>
      <c r="H13" s="374"/>
      <c r="I13" s="374"/>
      <c r="J13" s="374"/>
      <c r="K13" s="282"/>
      <c r="L13" s="240" t="s">
        <v>17</v>
      </c>
      <c r="M13" s="49"/>
      <c r="N13" s="6"/>
    </row>
    <row r="14" spans="1:26" ht="15" customHeight="1" x14ac:dyDescent="0.25">
      <c r="B14" s="46"/>
      <c r="C14" s="227"/>
      <c r="D14" s="49"/>
      <c r="E14" s="49"/>
      <c r="F14" s="374" t="s">
        <v>514</v>
      </c>
      <c r="G14" s="374"/>
      <c r="H14" s="374"/>
      <c r="I14" s="374"/>
      <c r="J14" s="374"/>
      <c r="K14" s="282"/>
      <c r="L14" s="240" t="s">
        <v>17</v>
      </c>
      <c r="M14" s="49"/>
      <c r="N14" s="6"/>
      <c r="P14" s="13"/>
      <c r="Q14" s="13"/>
      <c r="Z14" s="13"/>
    </row>
    <row r="15" spans="1:26" ht="15" customHeight="1" x14ac:dyDescent="0.25">
      <c r="B15" s="46"/>
      <c r="C15" s="227"/>
      <c r="D15" s="49"/>
      <c r="E15" s="49"/>
      <c r="F15" s="374" t="s">
        <v>21</v>
      </c>
      <c r="G15" s="374"/>
      <c r="H15" s="374"/>
      <c r="I15" s="374"/>
      <c r="J15" s="374"/>
      <c r="K15" s="282"/>
      <c r="L15" s="240" t="s">
        <v>17</v>
      </c>
      <c r="M15" s="49"/>
      <c r="N15" s="6"/>
      <c r="P15" s="13"/>
      <c r="Q15" s="13"/>
    </row>
    <row r="16" spans="1:26" ht="15" customHeight="1" x14ac:dyDescent="0.25">
      <c r="B16" s="46"/>
      <c r="C16" s="227"/>
      <c r="D16" s="49"/>
      <c r="E16" s="49"/>
      <c r="F16" s="374" t="s">
        <v>154</v>
      </c>
      <c r="G16" s="374"/>
      <c r="H16" s="374"/>
      <c r="I16" s="374"/>
      <c r="J16" s="374"/>
      <c r="K16" s="282"/>
      <c r="L16" s="240" t="s">
        <v>17</v>
      </c>
      <c r="M16" s="49"/>
      <c r="N16" s="6"/>
      <c r="P16" s="13"/>
      <c r="Q16" s="13"/>
    </row>
    <row r="17" spans="2:17" ht="15" customHeight="1" x14ac:dyDescent="0.25">
      <c r="B17" s="46"/>
      <c r="C17" s="227"/>
      <c r="D17" s="49"/>
      <c r="E17" s="49"/>
      <c r="F17" s="374" t="s">
        <v>513</v>
      </c>
      <c r="G17" s="374"/>
      <c r="H17" s="374"/>
      <c r="I17" s="374"/>
      <c r="J17" s="374"/>
      <c r="K17" s="282"/>
      <c r="L17" s="240" t="s">
        <v>17</v>
      </c>
      <c r="M17" s="49"/>
      <c r="N17" s="6"/>
      <c r="P17" s="13"/>
      <c r="Q17" s="13"/>
    </row>
    <row r="18" spans="2:17" ht="15" customHeight="1" x14ac:dyDescent="0.25">
      <c r="B18" s="46"/>
      <c r="C18" s="227"/>
      <c r="D18" s="49"/>
      <c r="E18" s="49"/>
      <c r="F18" s="374" t="s">
        <v>235</v>
      </c>
      <c r="G18" s="374"/>
      <c r="H18" s="374"/>
      <c r="I18" s="374"/>
      <c r="J18" s="374"/>
      <c r="K18" s="282"/>
      <c r="L18" s="240" t="s">
        <v>17</v>
      </c>
      <c r="M18" s="49"/>
      <c r="N18" s="6"/>
      <c r="P18" s="13"/>
      <c r="Q18" s="13"/>
    </row>
    <row r="19" spans="2:17" ht="15" customHeight="1" x14ac:dyDescent="0.25">
      <c r="B19" s="46"/>
      <c r="C19" s="227"/>
      <c r="D19" s="49"/>
      <c r="E19" s="49"/>
      <c r="F19" s="374" t="s">
        <v>400</v>
      </c>
      <c r="G19" s="374"/>
      <c r="H19" s="374"/>
      <c r="I19" s="374"/>
      <c r="J19" s="374"/>
      <c r="K19" s="282"/>
      <c r="L19" s="240" t="s">
        <v>17</v>
      </c>
      <c r="M19" s="49"/>
      <c r="N19" s="6"/>
    </row>
    <row r="20" spans="2:17" ht="6.95" customHeight="1" x14ac:dyDescent="0.25">
      <c r="B20" s="46"/>
      <c r="C20" s="227"/>
      <c r="D20" s="49"/>
      <c r="E20" s="49"/>
      <c r="F20" s="49"/>
      <c r="G20" s="49"/>
      <c r="H20" s="49"/>
      <c r="I20" s="49"/>
      <c r="J20" s="49"/>
      <c r="K20" s="49"/>
      <c r="L20" s="49"/>
      <c r="M20" s="49"/>
      <c r="N20" s="6"/>
    </row>
    <row r="21" spans="2:17" ht="5.45" customHeight="1" x14ac:dyDescent="0.25">
      <c r="B21" s="46"/>
      <c r="C21" s="227"/>
      <c r="D21" s="247"/>
      <c r="E21" s="247"/>
      <c r="F21" s="247"/>
      <c r="G21" s="247"/>
      <c r="H21" s="247"/>
      <c r="I21" s="247"/>
      <c r="J21" s="247"/>
      <c r="K21" s="247"/>
      <c r="L21" s="247"/>
      <c r="M21" s="247"/>
      <c r="N21" s="6"/>
    </row>
    <row r="22" spans="2:17" ht="3.95" customHeight="1" x14ac:dyDescent="0.25">
      <c r="B22" s="46"/>
      <c r="C22" s="227"/>
      <c r="D22" s="49"/>
      <c r="E22" s="49"/>
      <c r="F22" s="49"/>
      <c r="G22" s="49"/>
      <c r="H22" s="49"/>
      <c r="I22" s="49"/>
      <c r="J22" s="49"/>
      <c r="K22" s="49"/>
      <c r="L22" s="49"/>
      <c r="M22" s="49"/>
      <c r="N22" s="6"/>
    </row>
    <row r="23" spans="2:17" ht="14.1" customHeight="1" x14ac:dyDescent="0.25">
      <c r="B23" s="46"/>
      <c r="C23" s="227"/>
      <c r="D23" s="49"/>
      <c r="E23" s="48" t="s">
        <v>12</v>
      </c>
      <c r="F23" s="374" t="s">
        <v>237</v>
      </c>
      <c r="G23" s="374"/>
      <c r="H23" s="374"/>
      <c r="I23" s="374"/>
      <c r="J23" s="374"/>
      <c r="K23" s="49"/>
      <c r="L23" s="49"/>
      <c r="M23" s="49"/>
      <c r="N23" s="6"/>
    </row>
    <row r="24" spans="2:17" ht="3.95" customHeight="1" x14ac:dyDescent="0.25">
      <c r="B24" s="46"/>
      <c r="C24" s="227"/>
      <c r="D24" s="49"/>
      <c r="E24" s="48"/>
      <c r="F24" s="49"/>
      <c r="G24" s="49"/>
      <c r="H24" s="49"/>
      <c r="I24" s="49"/>
      <c r="J24" s="49"/>
      <c r="K24" s="49"/>
      <c r="L24" s="49"/>
      <c r="M24" s="49"/>
      <c r="N24" s="6"/>
    </row>
    <row r="25" spans="2:17" ht="11.1" customHeight="1" x14ac:dyDescent="0.25">
      <c r="B25" s="46"/>
      <c r="C25" s="227"/>
      <c r="D25" s="49"/>
      <c r="E25" s="49"/>
      <c r="F25" s="374" t="s">
        <v>238</v>
      </c>
      <c r="G25" s="374"/>
      <c r="H25" s="374"/>
      <c r="I25" s="374"/>
      <c r="J25" s="374"/>
      <c r="K25" s="238"/>
      <c r="L25" s="240" t="s">
        <v>17</v>
      </c>
      <c r="M25" s="49"/>
      <c r="N25" s="6"/>
    </row>
    <row r="26" spans="2:17" ht="13.5" customHeight="1" x14ac:dyDescent="0.25">
      <c r="B26" s="46"/>
      <c r="C26" s="227"/>
      <c r="D26" s="49"/>
      <c r="E26" s="49"/>
      <c r="F26" s="374" t="s">
        <v>407</v>
      </c>
      <c r="G26" s="374"/>
      <c r="H26" s="374"/>
      <c r="I26" s="374"/>
      <c r="J26" s="374"/>
      <c r="K26" s="238"/>
      <c r="L26" s="240" t="s">
        <v>515</v>
      </c>
      <c r="M26" s="49"/>
      <c r="N26" s="6"/>
    </row>
    <row r="27" spans="2:17" ht="17.100000000000001" customHeight="1" x14ac:dyDescent="0.25">
      <c r="B27" s="46"/>
      <c r="C27" s="227"/>
      <c r="D27" s="49"/>
      <c r="E27" s="49"/>
      <c r="F27" s="49" t="s">
        <v>408</v>
      </c>
      <c r="G27" s="49"/>
      <c r="H27" s="49"/>
      <c r="I27" s="49"/>
      <c r="J27" s="49"/>
      <c r="K27" s="238"/>
      <c r="L27" s="240" t="s">
        <v>515</v>
      </c>
      <c r="M27" s="49"/>
      <c r="N27" s="6"/>
    </row>
    <row r="28" spans="2:17" ht="50.1" customHeight="1" x14ac:dyDescent="0.25">
      <c r="B28" s="46"/>
      <c r="C28" s="227"/>
      <c r="D28" s="49"/>
      <c r="E28" s="428" t="s">
        <v>541</v>
      </c>
      <c r="F28" s="428"/>
      <c r="G28" s="428"/>
      <c r="H28" s="428"/>
      <c r="I28" s="428"/>
      <c r="J28" s="428"/>
      <c r="K28" s="428"/>
      <c r="L28" s="428"/>
      <c r="M28" s="428"/>
      <c r="N28" s="6"/>
    </row>
    <row r="29" spans="2:17" ht="6" customHeight="1" x14ac:dyDescent="0.25">
      <c r="B29" s="46"/>
      <c r="C29" s="227"/>
      <c r="D29" s="49"/>
      <c r="E29" s="237"/>
      <c r="F29" s="237"/>
      <c r="G29" s="237"/>
      <c r="H29" s="237"/>
      <c r="I29" s="237"/>
      <c r="J29" s="237"/>
      <c r="K29" s="237"/>
      <c r="L29" s="237"/>
      <c r="M29" s="237"/>
      <c r="N29" s="6"/>
    </row>
    <row r="30" spans="2:17" ht="13.5" customHeight="1" x14ac:dyDescent="0.25">
      <c r="B30" s="46"/>
      <c r="C30" s="227"/>
      <c r="D30" s="49"/>
      <c r="E30" s="49"/>
      <c r="F30" s="382" t="s">
        <v>20</v>
      </c>
      <c r="G30" s="382"/>
      <c r="H30" s="382"/>
      <c r="I30" s="382"/>
      <c r="J30" s="382"/>
      <c r="K30" s="290">
        <f>SUM(K10:K19)+K25</f>
        <v>4.6500000000000004</v>
      </c>
      <c r="L30" s="246" t="s">
        <v>17</v>
      </c>
      <c r="M30" s="49"/>
      <c r="N30" s="6"/>
    </row>
    <row r="31" spans="2:17" ht="57" customHeight="1" x14ac:dyDescent="0.25">
      <c r="B31" s="46"/>
      <c r="C31" s="227"/>
      <c r="D31" s="49"/>
      <c r="E31" s="428" t="s">
        <v>516</v>
      </c>
      <c r="F31" s="428"/>
      <c r="G31" s="428"/>
      <c r="H31" s="428"/>
      <c r="I31" s="428"/>
      <c r="J31" s="428"/>
      <c r="K31" s="428"/>
      <c r="L31" s="428"/>
      <c r="M31" s="428"/>
      <c r="N31" s="6"/>
    </row>
    <row r="32" spans="2:17" ht="5.45" customHeight="1" x14ac:dyDescent="0.25">
      <c r="B32" s="46"/>
      <c r="C32" s="227"/>
      <c r="D32" s="49"/>
      <c r="E32" s="49"/>
      <c r="F32" s="49"/>
      <c r="G32" s="49"/>
      <c r="H32" s="49"/>
      <c r="I32" s="49"/>
      <c r="J32" s="49"/>
      <c r="K32" s="49"/>
      <c r="L32" s="49"/>
      <c r="M32" s="49"/>
      <c r="N32" s="6"/>
    </row>
    <row r="33" spans="2:14" ht="15.75" x14ac:dyDescent="0.25">
      <c r="B33" s="46"/>
      <c r="C33" s="227"/>
      <c r="D33" s="259"/>
      <c r="E33" s="259"/>
      <c r="F33" s="259"/>
      <c r="G33" s="259"/>
      <c r="H33" s="259"/>
      <c r="I33" s="259"/>
      <c r="J33" s="259"/>
      <c r="K33" s="259"/>
      <c r="L33" s="259"/>
      <c r="M33" s="259"/>
      <c r="N33" s="6"/>
    </row>
    <row r="34" spans="2:14" ht="15.75" x14ac:dyDescent="0.25">
      <c r="B34" s="46"/>
      <c r="C34" s="227"/>
      <c r="D34" s="49"/>
      <c r="E34" s="48" t="s">
        <v>14</v>
      </c>
      <c r="F34" s="374" t="s">
        <v>409</v>
      </c>
      <c r="G34" s="374"/>
      <c r="H34" s="374"/>
      <c r="I34" s="374"/>
      <c r="J34" s="374"/>
      <c r="K34" s="144" t="s">
        <v>2</v>
      </c>
      <c r="L34" s="144" t="s">
        <v>3</v>
      </c>
      <c r="M34" s="49"/>
      <c r="N34" s="6"/>
    </row>
    <row r="35" spans="2:14" ht="4.5" customHeight="1" x14ac:dyDescent="0.25">
      <c r="B35" s="46"/>
      <c r="C35" s="227"/>
      <c r="D35" s="49"/>
      <c r="E35" s="48"/>
      <c r="F35" s="374"/>
      <c r="G35" s="374"/>
      <c r="H35" s="374"/>
      <c r="I35" s="374"/>
      <c r="J35" s="374"/>
      <c r="K35" s="144"/>
      <c r="L35" s="144"/>
      <c r="M35" s="49"/>
      <c r="N35" s="6"/>
    </row>
    <row r="36" spans="2:14" ht="15.6" customHeight="1" x14ac:dyDescent="0.25">
      <c r="B36" s="46"/>
      <c r="C36" s="227"/>
      <c r="D36" s="49"/>
      <c r="E36" s="49"/>
      <c r="F36" s="382" t="s">
        <v>26</v>
      </c>
      <c r="G36" s="382"/>
      <c r="H36" s="382"/>
      <c r="I36" s="382"/>
      <c r="J36" s="382"/>
      <c r="K36" s="295">
        <f>($K10*IF('Stage 2'!$K$14="550-575",'Data Tables'!AC39,IF('Stage 2'!$K$14="575-600",'Data Tables'!AC40,IF('Stage 2'!$K$14="600-625",'Data Tables'!AC41,IF('Stage 2'!$K$14="625-650",'Data Tables'!AC42,IF('Stage 2'!$K$14="650-675",'Data Tables'!AC43,IF('Stage 2'!$K$14="675-700",'Data Tables'!AC44,IF('Stage 2'!$K$14="700-750",'Data Tables'!AC45,IF('Stage 2'!$K$14="750-800",'Data Tables'!AC46,IF('Stage 2'!$K$14="800-850",'Data Tables'!AC47,'Data Tables'!AC48))))))))))+($K11*IF('Stage 2'!$K$14="550-575",'Data Tables'!AE39,IF('Stage 2'!$K$14="575-600",'Data Tables'!AE40,IF('Stage 2'!$K$14="600-625",'Data Tables'!AE41,IF('Stage 2'!$K$14="625-650",'Data Tables'!AE42,IF('Stage 2'!$K$14="650-675",'Data Tables'!AE43,IF('Stage 2'!$K$14="675-700",'Data Tables'!AE44,IF('Stage 2'!$K$14="700-750",'Data Tables'!AE45,IF('Stage 2'!$K$14="750-800",'Data Tables'!AE46,IF('Stage 2'!$K$14="800-850",'Data Tables'!AE47,'Data Tables'!AE48))))))))))+($K12*IF('Stage 2'!$K$14="550-575",'Data Tables'!AG39,IF('Stage 2'!$K$14="575-600",'Data Tables'!AG40,IF('Stage 2'!$K$14="600-625",'Data Tables'!AG41,IF('Stage 2'!$K$14="625-650",'Data Tables'!AG42,IF('Stage 2'!$K$14="650-675",'Data Tables'!AG43,IF('Stage 2'!$K$14="675-700",'Data Tables'!AG44,IF('Stage 2'!$K$14="700-750",'Data Tables'!AG45,IF('Stage 2'!$K$14="750-800",'Data Tables'!AG46,IF('Stage 2'!$K$14="800-850",'Data Tables'!AG47,'Data Tables'!AG48))))))))))+($K13*IF('Stage 2'!$K$14="550-575",'Data Tables'!AI39,IF('Stage 2'!$K$14="575-600",'Data Tables'!AI40,IF('Stage 2'!$K$14="600-625",'Data Tables'!AI41,IF('Stage 2'!$K$14="625-650",'Data Tables'!AI42,IF('Stage 2'!$K$14="650-675",'Data Tables'!AI43,IF('Stage 2'!$K$14="675-700",'Data Tables'!AI44,IF('Stage 2'!$K$14="700-750",'Data Tables'!AI45,IF('Stage 2'!$K$14="750-800",'Data Tables'!AI46,IF('Stage 2'!$K$14="800-850",'Data Tables'!AI47,'Data Tables'!AI48))))))))))+($K14*IF('Stage 2'!$K$14="550-575",'Data Tables'!AK39,IF('Stage 2'!$K$14="575-600",'Data Tables'!AK40,IF('Stage 2'!$K$14="600-625",'Data Tables'!AK41,IF('Stage 2'!$K$14="625-650",'Data Tables'!AK42,IF('Stage 2'!$K$14="650-675",'Data Tables'!AK43,IF('Stage 2'!$K$14="675-700",'Data Tables'!AK44,IF('Stage 2'!$K$14="700-750",'Data Tables'!AK45,IF('Stage 2'!$K$14="750-800",'Data Tables'!AK46,IF('Stage 2'!$K$14="800-850",'Data Tables'!AK47,'Data Tables'!AK48))))))))))+(K15*'Data Tables'!O3)+(K17*'Data Tables'!O4)+(K16*'Data Tables'!O5)+(K18*'Data Tables'!O6)+(K19*'Data Tables'!O7)+(K25*-(IF(K26&gt;0,K26,8)))</f>
        <v>4.1480258813173441</v>
      </c>
      <c r="L36" s="246" t="s">
        <v>35</v>
      </c>
      <c r="M36" s="49"/>
      <c r="N36" s="6"/>
    </row>
    <row r="37" spans="2:14" ht="3.6" customHeight="1" x14ac:dyDescent="0.25">
      <c r="B37" s="46"/>
      <c r="C37" s="227"/>
      <c r="D37" s="49"/>
      <c r="E37" s="49"/>
      <c r="F37" s="382"/>
      <c r="G37" s="382"/>
      <c r="H37" s="382"/>
      <c r="I37" s="382"/>
      <c r="J37" s="382"/>
      <c r="K37" s="49"/>
      <c r="L37" s="49"/>
      <c r="M37" s="49"/>
      <c r="N37" s="6"/>
    </row>
    <row r="38" spans="2:14" ht="15" customHeight="1" x14ac:dyDescent="0.25">
      <c r="B38" s="46"/>
      <c r="C38" s="227"/>
      <c r="D38" s="49"/>
      <c r="E38" s="49"/>
      <c r="F38" s="382" t="s">
        <v>406</v>
      </c>
      <c r="G38" s="382"/>
      <c r="H38" s="382"/>
      <c r="I38" s="382"/>
      <c r="J38" s="382"/>
      <c r="K38" s="273">
        <f>($K10*IF('Stage 2'!$K$14="550-575",'Data Tables'!AD39,IF('Stage 2'!$K$14="575-600",'Data Tables'!AD40,IF('Stage 2'!$K$14="600-625",'Data Tables'!AD41,IF('Stage 2'!$K$14="625-650",'Data Tables'!AD42,IF('Stage 2'!$K$14="650-675",'Data Tables'!AD43,IF('Stage 2'!$K$14="675-700",'Data Tables'!AD44,IF('Stage 2'!$K$14="700-750",'Data Tables'!AD45,IF('Stage 2'!$K$14="750-800",'Data Tables'!AD46,IF('Stage 2'!$K$14="800-850",'Data Tables'!AD47,'Data Tables'!AD48))))))))))+($K11*IF('Stage 2'!$K$14="550-575",'Data Tables'!AF39,IF('Stage 2'!$K$14="575-600",'Data Tables'!AF40,IF('Stage 2'!$K$14="600-625",'Data Tables'!AF41,IF('Stage 2'!$K$14="625-650",'Data Tables'!AF42,IF('Stage 2'!$K$14="650-675",'Data Tables'!AF43,IF('Stage 2'!$K$14="675-700",'Data Tables'!AF44,IF('Stage 2'!$K$14="700-750",'Data Tables'!AF45,IF('Stage 2'!$K$14="750-800",'Data Tables'!AF46,IF('Stage 2'!$K$14="800-850",'Data Tables'!AF47,'Data Tables'!AF48))))))))))+($K12*IF('Stage 2'!$K$14="550-575",'Data Tables'!AH39,IF('Stage 2'!$K$14="575-600",'Data Tables'!AH40,IF('Stage 2'!$K$14="600-625",'Data Tables'!AH41,IF('Stage 2'!$K$14="625-650",'Data Tables'!AH42,IF('Stage 2'!$K$14="650-675",'Data Tables'!AH43,IF('Stage 2'!$K$14="675-700",'Data Tables'!AH44,IF('Stage 2'!$K$14="700-750",'Data Tables'!AH45,IF('Stage 2'!$K$14="750-800",'Data Tables'!AH46,IF('Stage 2'!$K$14="800-850",'Data Tables'!AH47,'Data Tables'!AH48))))))))))+($K13*IF('Stage 2'!$K$14="550-575",'Data Tables'!AJ39,IF('Stage 2'!$K$14="575-600",'Data Tables'!AJ40,IF('Stage 2'!$K$14="600-625",'Data Tables'!AJ41,IF('Stage 2'!$K$14="625-650",'Data Tables'!AJ42,IF('Stage 2'!$K$14="650-675",'Data Tables'!AJ43,IF('Stage 2'!$K$14="675-700",'Data Tables'!AJ44,IF('Stage 2'!$K$14="700-750",'Data Tables'!AJ45,IF('Stage 2'!$K$14="750-800",'Data Tables'!AJ46,IF('Stage 2'!$K$14="800-850",'Data Tables'!AJ47,'Data Tables'!AJ48))))))))))+($K14*IF('Stage 2'!$K$14="550-575",'Data Tables'!AL39,IF('Stage 2'!$K$14="575-600",'Data Tables'!AL40,IF('Stage 2'!$K$14="600-625",'Data Tables'!AL41,IF('Stage 2'!$K$14="625-650",'Data Tables'!AL42,IF('Stage 2'!$K$14="650-675",'Data Tables'!AL43,IF('Stage 2'!$K$14="675-700",'Data Tables'!AL44,IF('Stage 2'!$K$14="700-750",'Data Tables'!AL45,IF('Stage 2'!$K$14="750-800",'Data Tables'!AL46,IF('Stage 2'!$K$14="800-850",'Data Tables'!AL47,'Data Tables'!AL48))))))))))+(K15*'Data Tables'!P3)+(K17*'Data Tables'!P4)+(K16*'Data Tables'!P5)+(K18*'Data Tables'!P6)+(K19*'Data Tables'!P7)+(K25*-(IF(K27&gt;0,K27,930)))</f>
        <v>43.39181438805349</v>
      </c>
      <c r="L38" s="246" t="s">
        <v>35</v>
      </c>
      <c r="M38" s="49"/>
      <c r="N38" s="6"/>
    </row>
    <row r="39" spans="2:14" ht="6.6" customHeight="1" x14ac:dyDescent="0.25">
      <c r="B39" s="46"/>
      <c r="C39" s="227"/>
      <c r="D39" s="49"/>
      <c r="E39" s="49"/>
      <c r="F39" s="49"/>
      <c r="G39" s="49"/>
      <c r="H39" s="49"/>
      <c r="I39" s="49"/>
      <c r="J39" s="49"/>
      <c r="K39" s="49"/>
      <c r="L39" s="49"/>
      <c r="M39" s="49"/>
      <c r="N39" s="6"/>
    </row>
    <row r="40" spans="2:14" ht="4.5" customHeight="1" thickBot="1" x14ac:dyDescent="0.25">
      <c r="B40" s="7"/>
      <c r="C40" s="296"/>
      <c r="D40" s="296"/>
      <c r="E40" s="296"/>
      <c r="F40" s="296"/>
      <c r="G40" s="296"/>
      <c r="H40" s="296"/>
      <c r="I40" s="296"/>
      <c r="J40" s="296"/>
      <c r="K40" s="296"/>
      <c r="L40" s="296"/>
      <c r="M40" s="296"/>
      <c r="N40" s="9"/>
    </row>
  </sheetData>
  <sheetProtection algorithmName="SHA-512" hashValue="GBrGmAaobZcVgRz5vdl5TctQtsusxHadHm2Gm7/JoPDC9Xd3u8A+ZiEj4LPsmlL8VEuQy7AukxUCeAqFPf9euw==" saltValue="3uL9uvJjwB2tyqVeRAd+cw==" spinCount="100000" sheet="1" objects="1" scenarios="1" selectLockedCells="1"/>
  <mergeCells count="20">
    <mergeCell ref="F3:M3"/>
    <mergeCell ref="E4:M6"/>
    <mergeCell ref="F13:J13"/>
    <mergeCell ref="F16:J16"/>
    <mergeCell ref="F8:J8"/>
    <mergeCell ref="F14:J14"/>
    <mergeCell ref="F15:J15"/>
    <mergeCell ref="F37:J37"/>
    <mergeCell ref="F38:J38"/>
    <mergeCell ref="F17:J17"/>
    <mergeCell ref="F18:J18"/>
    <mergeCell ref="F19:J19"/>
    <mergeCell ref="F30:J30"/>
    <mergeCell ref="F34:J35"/>
    <mergeCell ref="F36:J36"/>
    <mergeCell ref="F23:J23"/>
    <mergeCell ref="F25:J25"/>
    <mergeCell ref="F26:J26"/>
    <mergeCell ref="E28:M28"/>
    <mergeCell ref="E31:M31"/>
  </mergeCells>
  <pageMargins left="0.70866141732283472" right="0.70866141732283472" top="0.74803149606299213" bottom="0.74803149606299213" header="0.31496062992125984" footer="0.31496062992125984"/>
  <pageSetup paperSize="9" orientation="portrait" r:id="rId1"/>
  <headerFooter>
    <oddHeader>&amp;LPhosphate Budget Calculator&amp;CStage 3</oddHeader>
    <oddFooter>&amp;LVersion 2.2&amp;R&amp;D</oddFooter>
  </headerFooter>
  <customProperties>
    <customPr name="SSC_SHEET_GUID" r:id="rId2"/>
  </customProperties>
  <extLst>
    <ext xmlns:x14="http://schemas.microsoft.com/office/spreadsheetml/2009/9/main" uri="{78C0D931-6437-407d-A8EE-F0AAD7539E65}">
      <x14:conditionalFormattings>
        <x14:conditionalFormatting xmlns:xm="http://schemas.microsoft.com/office/excel/2006/main">
          <x14:cfRule type="expression" priority="1" id="{00000000-000E-0000-0500-000001000000}">
            <xm:f>$K$30&gt;'Stage 2'!$K$41</xm:f>
            <x14:dxf>
              <fill>
                <patternFill>
                  <bgColor rgb="FFFF0000"/>
                </patternFill>
              </fill>
            </x14:dxf>
          </x14:cfRule>
          <x14:cfRule type="expression" priority="2" id="{00000000-000E-0000-0500-000002000000}">
            <xm:f>$K$30='Stage 2'!$K$41</xm:f>
            <x14:dxf>
              <fill>
                <patternFill>
                  <bgColor theme="7" tint="0.79998168889431442"/>
                </patternFill>
              </fill>
            </x14:dxf>
          </x14:cfRule>
          <x14:cfRule type="expression" priority="3" id="{00000000-000E-0000-0500-000003000000}">
            <xm:f>$K$30&lt;'Stage 2'!$K$41</xm:f>
            <x14:dxf>
              <fill>
                <patternFill>
                  <bgColor rgb="FFFF0000"/>
                </patternFill>
              </fill>
            </x14:dxf>
          </x14:cfRule>
          <xm:sqref>K30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FA4D9-ABE7-4CB5-A613-49EAF5B63F5C}">
  <sheetPr>
    <tabColor rgb="FFD6F4FE"/>
    <pageSetUpPr fitToPage="1"/>
  </sheetPr>
  <dimension ref="A1:AG61"/>
  <sheetViews>
    <sheetView zoomScale="85" zoomScaleNormal="85" workbookViewId="0"/>
  </sheetViews>
  <sheetFormatPr defaultRowHeight="12.75" x14ac:dyDescent="0.2"/>
  <cols>
    <col min="2" max="3" width="0.85546875" customWidth="1"/>
    <col min="4" max="4" width="2.28515625" customWidth="1"/>
    <col min="5" max="5" width="9.5703125" customWidth="1"/>
    <col min="9" max="9" width="12.28515625" customWidth="1"/>
    <col min="10" max="10" width="34.140625" customWidth="1"/>
    <col min="11" max="11" width="10.85546875" customWidth="1"/>
    <col min="12" max="12" width="1.140625" customWidth="1"/>
    <col min="13" max="13" width="11.140625" customWidth="1"/>
    <col min="14" max="14" width="1.42578125" customWidth="1"/>
    <col min="15" max="15" width="11.140625" customWidth="1"/>
    <col min="16" max="16" width="11.42578125" customWidth="1"/>
    <col min="17" max="17" width="3.7109375" customWidth="1"/>
    <col min="18" max="18" width="27.140625" customWidth="1"/>
    <col min="19" max="19" width="20.85546875" customWidth="1"/>
    <col min="20" max="20" width="1.85546875" customWidth="1"/>
    <col min="21" max="21" width="0.85546875" customWidth="1"/>
    <col min="22" max="22" width="4.42578125" customWidth="1"/>
    <col min="23" max="23" width="10.140625" hidden="1" customWidth="1"/>
  </cols>
  <sheetData>
    <row r="1" spans="1:33" ht="13.5" thickBot="1" x14ac:dyDescent="0.25">
      <c r="A1" s="40" t="s">
        <v>30</v>
      </c>
    </row>
    <row r="2" spans="1:33" ht="3.6" customHeight="1" x14ac:dyDescent="0.2">
      <c r="B2" s="1"/>
      <c r="C2" s="2"/>
      <c r="D2" s="2"/>
      <c r="E2" s="2"/>
      <c r="F2" s="2"/>
      <c r="G2" s="2"/>
      <c r="H2" s="2"/>
      <c r="I2" s="2"/>
      <c r="J2" s="2"/>
      <c r="K2" s="2"/>
      <c r="L2" s="2"/>
      <c r="M2" s="2"/>
      <c r="N2" s="2"/>
      <c r="O2" s="2"/>
      <c r="P2" s="2"/>
      <c r="Q2" s="2"/>
      <c r="R2" s="2"/>
      <c r="S2" s="2"/>
      <c r="T2" s="2"/>
      <c r="U2" s="3"/>
    </row>
    <row r="3" spans="1:33" ht="28.5" customHeight="1" x14ac:dyDescent="0.25">
      <c r="B3" s="4"/>
      <c r="C3" s="40"/>
      <c r="D3" s="278"/>
      <c r="E3" s="197" t="s">
        <v>30</v>
      </c>
      <c r="F3" s="433" t="s">
        <v>497</v>
      </c>
      <c r="G3" s="433"/>
      <c r="H3" s="433"/>
      <c r="I3" s="433"/>
      <c r="J3" s="433"/>
      <c r="K3" s="433"/>
      <c r="L3" s="433"/>
      <c r="M3" s="433"/>
      <c r="N3" s="433"/>
      <c r="O3" s="433"/>
      <c r="P3" s="433"/>
      <c r="Q3" s="433"/>
      <c r="R3" s="433"/>
      <c r="S3" s="433"/>
      <c r="T3" s="433"/>
      <c r="U3" s="297"/>
      <c r="V3" s="20"/>
      <c r="W3" s="20"/>
      <c r="X3" s="20"/>
      <c r="Y3" s="20"/>
      <c r="Z3" s="20"/>
      <c r="AA3" s="20"/>
      <c r="AB3" s="20"/>
      <c r="AC3" s="20"/>
      <c r="AD3" s="20"/>
      <c r="AE3" s="20"/>
      <c r="AF3" s="20"/>
      <c r="AG3" s="20"/>
    </row>
    <row r="4" spans="1:33" ht="2.1" customHeight="1" x14ac:dyDescent="0.25">
      <c r="B4" s="4"/>
      <c r="C4" s="54"/>
      <c r="D4" s="279"/>
      <c r="E4" s="447" t="s">
        <v>536</v>
      </c>
      <c r="F4" s="447"/>
      <c r="G4" s="447"/>
      <c r="H4" s="447"/>
      <c r="I4" s="447"/>
      <c r="J4" s="447"/>
      <c r="K4" s="447"/>
      <c r="L4" s="447"/>
      <c r="M4" s="447"/>
      <c r="N4" s="447"/>
      <c r="O4" s="447"/>
      <c r="P4" s="447"/>
      <c r="Q4" s="447"/>
      <c r="R4" s="447"/>
      <c r="S4" s="447"/>
      <c r="T4" s="447"/>
      <c r="U4" s="297"/>
      <c r="V4" s="20"/>
      <c r="W4" s="20"/>
      <c r="X4" s="20"/>
      <c r="Y4" s="20"/>
      <c r="Z4" s="20"/>
      <c r="AA4" s="20"/>
      <c r="AB4" s="20"/>
      <c r="AC4" s="20"/>
      <c r="AD4" s="20"/>
      <c r="AE4" s="20"/>
      <c r="AF4" s="20"/>
      <c r="AG4" s="20"/>
    </row>
    <row r="5" spans="1:33" ht="15.75" x14ac:dyDescent="0.25">
      <c r="B5" s="4"/>
      <c r="C5" s="54"/>
      <c r="D5" s="279"/>
      <c r="E5" s="447"/>
      <c r="F5" s="447"/>
      <c r="G5" s="447"/>
      <c r="H5" s="447"/>
      <c r="I5" s="447"/>
      <c r="J5" s="447"/>
      <c r="K5" s="447"/>
      <c r="L5" s="447"/>
      <c r="M5" s="447"/>
      <c r="N5" s="447"/>
      <c r="O5" s="447"/>
      <c r="P5" s="447"/>
      <c r="Q5" s="447"/>
      <c r="R5" s="447"/>
      <c r="S5" s="447"/>
      <c r="T5" s="447"/>
      <c r="U5" s="297"/>
      <c r="V5" s="20"/>
      <c r="W5" s="20"/>
      <c r="X5" s="20"/>
      <c r="Y5" s="20"/>
      <c r="Z5" s="20"/>
      <c r="AA5" s="20"/>
      <c r="AB5" s="20"/>
      <c r="AC5" s="20"/>
      <c r="AD5" s="20"/>
      <c r="AE5" s="20"/>
      <c r="AF5" s="20"/>
      <c r="AG5" s="20"/>
    </row>
    <row r="6" spans="1:33" ht="36.6" customHeight="1" x14ac:dyDescent="0.25">
      <c r="B6" s="4"/>
      <c r="C6" s="42"/>
      <c r="D6" s="227"/>
      <c r="E6" s="447"/>
      <c r="F6" s="447"/>
      <c r="G6" s="447"/>
      <c r="H6" s="447"/>
      <c r="I6" s="447"/>
      <c r="J6" s="447"/>
      <c r="K6" s="447"/>
      <c r="L6" s="447"/>
      <c r="M6" s="447"/>
      <c r="N6" s="447"/>
      <c r="O6" s="447"/>
      <c r="P6" s="447"/>
      <c r="Q6" s="447"/>
      <c r="R6" s="447"/>
      <c r="S6" s="447"/>
      <c r="T6" s="447"/>
      <c r="U6" s="297"/>
      <c r="V6" s="20"/>
      <c r="W6" s="20"/>
      <c r="X6" s="20"/>
      <c r="Y6" s="20"/>
      <c r="Z6" s="20"/>
      <c r="AA6" s="20"/>
      <c r="AB6" s="20"/>
      <c r="AC6" s="20"/>
      <c r="AD6" s="20"/>
      <c r="AE6" s="20"/>
      <c r="AF6" s="20"/>
      <c r="AG6" s="20"/>
    </row>
    <row r="7" spans="1:33" ht="11.1" customHeight="1" x14ac:dyDescent="0.25">
      <c r="B7" s="4"/>
      <c r="C7" s="42"/>
      <c r="D7" s="272"/>
      <c r="E7" s="280"/>
      <c r="F7" s="280"/>
      <c r="G7" s="280"/>
      <c r="H7" s="280"/>
      <c r="I7" s="280"/>
      <c r="J7" s="280"/>
      <c r="K7" s="280"/>
      <c r="L7" s="280"/>
      <c r="M7" s="280"/>
      <c r="N7" s="280"/>
      <c r="O7" s="280"/>
      <c r="P7" s="280"/>
      <c r="Q7" s="280"/>
      <c r="R7" s="280"/>
      <c r="S7" s="280"/>
      <c r="T7" s="280"/>
      <c r="U7" s="297"/>
      <c r="V7" s="20"/>
      <c r="W7" s="20"/>
      <c r="X7" s="20"/>
      <c r="Y7" s="20"/>
      <c r="Z7" s="20"/>
      <c r="AA7" s="20"/>
      <c r="AB7" s="20"/>
      <c r="AC7" s="20"/>
      <c r="AD7" s="20"/>
      <c r="AE7" s="20"/>
      <c r="AF7" s="20"/>
      <c r="AG7" s="20"/>
    </row>
    <row r="8" spans="1:33" ht="11.1" customHeight="1" x14ac:dyDescent="0.25">
      <c r="B8" s="4"/>
      <c r="C8" s="42"/>
      <c r="D8" s="227"/>
      <c r="E8" s="237"/>
      <c r="F8" s="237"/>
      <c r="G8" s="237"/>
      <c r="H8" s="237"/>
      <c r="I8" s="237"/>
      <c r="J8" s="237"/>
      <c r="K8" s="234" t="s">
        <v>550</v>
      </c>
      <c r="L8" s="234"/>
      <c r="M8" s="234" t="str">
        <f>IF(ISNUMBER('Stage 1'!L46),"Post 2025","")</f>
        <v/>
      </c>
      <c r="N8" s="234"/>
      <c r="O8" s="234" t="s">
        <v>549</v>
      </c>
      <c r="P8" s="237"/>
      <c r="Q8" s="237"/>
      <c r="R8" s="444" t="s">
        <v>147</v>
      </c>
      <c r="S8" s="444"/>
      <c r="T8" s="237"/>
      <c r="U8" s="297"/>
      <c r="V8" s="20"/>
      <c r="W8" s="20"/>
      <c r="X8" s="20"/>
      <c r="Y8" s="20"/>
      <c r="Z8" s="20"/>
      <c r="AA8" s="20"/>
      <c r="AB8" s="20"/>
      <c r="AC8" s="20"/>
      <c r="AD8" s="20"/>
      <c r="AE8" s="20"/>
      <c r="AF8" s="20"/>
      <c r="AG8" s="20"/>
    </row>
    <row r="9" spans="1:33" ht="11.1" customHeight="1" x14ac:dyDescent="0.25">
      <c r="B9" s="4"/>
      <c r="C9" s="42"/>
      <c r="D9" s="227"/>
      <c r="E9" s="237"/>
      <c r="F9" s="237"/>
      <c r="G9" s="237"/>
      <c r="H9" s="237"/>
      <c r="I9" s="237"/>
      <c r="J9" s="237"/>
      <c r="K9" s="237"/>
      <c r="L9" s="237"/>
      <c r="M9" s="237"/>
      <c r="N9" s="237"/>
      <c r="O9" s="237"/>
      <c r="P9" s="237"/>
      <c r="Q9" s="237"/>
      <c r="R9" s="298" t="s">
        <v>146</v>
      </c>
      <c r="S9" s="299">
        <f>'Stage 1'!V11+'Stage 1'!V14+'Stage 1'!V17</f>
        <v>1100</v>
      </c>
      <c r="T9" s="237"/>
      <c r="U9" s="297"/>
      <c r="V9" s="20"/>
      <c r="W9" s="20"/>
      <c r="X9" s="20"/>
      <c r="Y9" s="20"/>
      <c r="Z9" s="20"/>
      <c r="AA9" s="20"/>
      <c r="AB9" s="20"/>
      <c r="AC9" s="20"/>
      <c r="AD9" s="20"/>
      <c r="AE9" s="20"/>
      <c r="AF9" s="20"/>
      <c r="AG9" s="20"/>
    </row>
    <row r="10" spans="1:33" ht="39.6" customHeight="1" x14ac:dyDescent="0.25">
      <c r="B10" s="4"/>
      <c r="C10" s="55"/>
      <c r="D10" s="227"/>
      <c r="E10" s="48" t="s">
        <v>5</v>
      </c>
      <c r="F10" s="374" t="s">
        <v>411</v>
      </c>
      <c r="G10" s="374"/>
      <c r="H10" s="374"/>
      <c r="I10" s="374"/>
      <c r="J10" s="374"/>
      <c r="K10" s="144" t="s">
        <v>2</v>
      </c>
      <c r="L10" s="144"/>
      <c r="M10" s="144" t="str">
        <f>IF(ISNUMBER('Stage 1'!L46),"Value","")</f>
        <v/>
      </c>
      <c r="N10" s="144"/>
      <c r="O10" s="144" t="s">
        <v>2</v>
      </c>
      <c r="P10" s="144" t="s">
        <v>3</v>
      </c>
      <c r="Q10" s="144"/>
      <c r="R10" s="298" t="str">
        <f>IF('Stage 1'!N34="Yes","WRC location","Onsite treatment plant")</f>
        <v>WRC location</v>
      </c>
      <c r="S10" s="300" t="str">
        <f>IF('Stage 1'!N34="Yes",'Stage 1'!K44,'Stage 1'!AD44)</f>
        <v>Whitlingham Water Recycling Centre</v>
      </c>
      <c r="T10" s="49"/>
      <c r="U10" s="297"/>
      <c r="V10" s="20"/>
      <c r="W10" s="20"/>
      <c r="X10" s="20"/>
      <c r="Y10" s="20"/>
      <c r="Z10" s="20"/>
      <c r="AA10" s="20"/>
      <c r="AB10" s="20"/>
      <c r="AC10" s="20"/>
      <c r="AD10" s="20"/>
      <c r="AE10" s="20"/>
      <c r="AF10" s="20"/>
      <c r="AG10" s="20"/>
    </row>
    <row r="11" spans="1:33" ht="12" customHeight="1" x14ac:dyDescent="0.25">
      <c r="B11" s="4"/>
      <c r="C11" s="42"/>
      <c r="D11" s="227"/>
      <c r="E11" s="49"/>
      <c r="F11" s="66"/>
      <c r="G11" s="49"/>
      <c r="H11" s="49"/>
      <c r="I11" s="49"/>
      <c r="J11" s="49"/>
      <c r="K11" s="49"/>
      <c r="L11" s="49"/>
      <c r="M11" s="49"/>
      <c r="N11" s="49"/>
      <c r="O11" s="49"/>
      <c r="P11" s="49"/>
      <c r="Q11" s="49"/>
      <c r="R11" s="298" t="s">
        <v>551</v>
      </c>
      <c r="S11" s="301">
        <f>IF('Stage 1'!N34="Yes",'Stage 1'!K46,IF(ISTEXT('Stage 1'!AD46),'Stage 1'!AE46,'Stage 1'!AD46))</f>
        <v>0.9</v>
      </c>
      <c r="T11" s="49"/>
      <c r="U11" s="297"/>
      <c r="V11" s="20"/>
      <c r="W11" s="20"/>
      <c r="X11" s="20"/>
      <c r="Y11" s="20"/>
      <c r="Z11" s="20"/>
      <c r="AA11" s="20"/>
      <c r="AB11" s="20"/>
      <c r="AC11" s="20"/>
      <c r="AD11" s="20"/>
      <c r="AE11" s="20"/>
      <c r="AF11" s="20"/>
      <c r="AG11" s="20"/>
    </row>
    <row r="12" spans="1:33" ht="15.75" x14ac:dyDescent="0.25">
      <c r="B12" s="4"/>
      <c r="C12" s="42"/>
      <c r="D12" s="227"/>
      <c r="E12" s="49"/>
      <c r="F12" s="382" t="s">
        <v>412</v>
      </c>
      <c r="G12" s="382"/>
      <c r="H12" s="382"/>
      <c r="I12" s="382"/>
      <c r="J12" s="382"/>
      <c r="K12" s="273">
        <f>'Stage 1'!U61</f>
        <v>74.619260099999991</v>
      </c>
      <c r="L12" s="269"/>
      <c r="M12" s="302" t="str">
        <f>IF(ISNUMBER('Stage 1'!L46),IF('Stage 1'!N34="Yes",(('Stage 1'!L46*'Stage 1'!V29)/1000000)*365.25,0),"")</f>
        <v/>
      </c>
      <c r="N12" s="269"/>
      <c r="O12" s="273">
        <f>'Stage 1'!W61</f>
        <v>18.654815024999998</v>
      </c>
      <c r="P12" s="246" t="s">
        <v>35</v>
      </c>
      <c r="Q12" s="246"/>
      <c r="R12" s="298" t="s">
        <v>552</v>
      </c>
      <c r="S12" s="301">
        <f>IF('Stage 1'!N34="Yes",'Stage 1'!K47,IF(ISTEXT('Stage 1'!AD47),'Stage 1'!AE47,'Stage 1'!AD47))</f>
        <v>25</v>
      </c>
      <c r="T12" s="49"/>
      <c r="U12" s="297"/>
      <c r="V12" s="20"/>
      <c r="W12" s="20"/>
      <c r="X12" s="20"/>
      <c r="Y12" s="20"/>
      <c r="Z12" s="20"/>
      <c r="AA12" s="20"/>
      <c r="AB12" s="20"/>
      <c r="AC12" s="20"/>
      <c r="AD12" s="20"/>
      <c r="AE12" s="20"/>
      <c r="AF12" s="20"/>
      <c r="AG12" s="20"/>
    </row>
    <row r="13" spans="1:33" ht="15.75" x14ac:dyDescent="0.25">
      <c r="B13" s="4"/>
      <c r="C13" s="42"/>
      <c r="D13" s="227"/>
      <c r="E13" s="49"/>
      <c r="F13" s="382" t="s">
        <v>413</v>
      </c>
      <c r="G13" s="382"/>
      <c r="H13" s="382"/>
      <c r="I13" s="382"/>
      <c r="J13" s="382"/>
      <c r="K13" s="273">
        <f>'Stage 1'!U63</f>
        <v>2072.7572249999998</v>
      </c>
      <c r="L13" s="269"/>
      <c r="M13" s="302"/>
      <c r="N13" s="269"/>
      <c r="O13" s="293">
        <f>'Stage 1'!W63</f>
        <v>746.19260099999997</v>
      </c>
      <c r="P13" s="246" t="s">
        <v>35</v>
      </c>
      <c r="Q13" s="246"/>
      <c r="R13" s="303" t="str">
        <f>IF(ISNUMBER('Stage 1'!L46),"Post 2025 TP discharge concentration","")</f>
        <v/>
      </c>
      <c r="S13" s="304" t="str">
        <f>IF(ISNUMBER('Stage 1'!L46),'Stage 1'!L46,"")</f>
        <v/>
      </c>
      <c r="T13" s="49"/>
      <c r="U13" s="297"/>
      <c r="V13" s="20"/>
      <c r="W13" s="20"/>
      <c r="X13" s="20"/>
      <c r="Y13" s="20"/>
      <c r="Z13" s="20"/>
      <c r="AA13" s="20"/>
      <c r="AB13" s="20"/>
      <c r="AC13" s="20"/>
      <c r="AD13" s="20"/>
      <c r="AE13" s="20"/>
      <c r="AF13" s="20"/>
      <c r="AG13" s="20"/>
    </row>
    <row r="14" spans="1:33" ht="15.75" x14ac:dyDescent="0.25">
      <c r="B14" s="4"/>
      <c r="C14" s="42"/>
      <c r="D14" s="227"/>
      <c r="E14" s="49"/>
      <c r="F14" s="146"/>
      <c r="G14" s="146"/>
      <c r="H14" s="146"/>
      <c r="I14" s="146"/>
      <c r="J14" s="146"/>
      <c r="K14" s="269"/>
      <c r="L14" s="269"/>
      <c r="M14" s="302"/>
      <c r="N14" s="269"/>
      <c r="O14" s="302"/>
      <c r="P14" s="246"/>
      <c r="Q14" s="246"/>
      <c r="R14" s="303" t="s">
        <v>553</v>
      </c>
      <c r="S14" s="305">
        <f>IF('Stage 1'!N34="Yes",'Stage 1'!M46,IF(ISTEXT('Stage 1'!AD46),'Stage 1'!AE46,'Stage 1'!AD46))</f>
        <v>0.22500000000000001</v>
      </c>
      <c r="T14" s="49"/>
      <c r="U14" s="297"/>
      <c r="V14" s="20"/>
      <c r="W14" s="20"/>
      <c r="X14" s="20"/>
      <c r="Y14" s="20"/>
      <c r="Z14" s="20"/>
      <c r="AA14" s="20"/>
      <c r="AB14" s="20"/>
      <c r="AC14" s="20"/>
      <c r="AD14" s="20"/>
      <c r="AE14" s="20"/>
      <c r="AF14" s="20"/>
      <c r="AG14" s="20"/>
    </row>
    <row r="15" spans="1:33" ht="15.75" x14ac:dyDescent="0.25">
      <c r="B15" s="4"/>
      <c r="C15" s="42"/>
      <c r="D15" s="227"/>
      <c r="E15" s="49"/>
      <c r="F15" s="146"/>
      <c r="G15" s="146"/>
      <c r="H15" s="146"/>
      <c r="I15" s="146"/>
      <c r="J15" s="146"/>
      <c r="K15" s="269"/>
      <c r="L15" s="269"/>
      <c r="M15" s="302"/>
      <c r="N15" s="269"/>
      <c r="O15" s="302"/>
      <c r="P15" s="246"/>
      <c r="Q15" s="246"/>
      <c r="R15" s="303" t="s">
        <v>554</v>
      </c>
      <c r="S15" s="305">
        <f>IF('Stage 1'!N34="Yes",'Stage 1'!M47,IF(ISTEXT('Stage 1'!AD47),'Stage 1'!AE47,'Stage 1'!AD47))</f>
        <v>9</v>
      </c>
      <c r="T15" s="49"/>
      <c r="U15" s="297"/>
      <c r="V15" s="20"/>
      <c r="W15" s="20"/>
      <c r="X15" s="20"/>
      <c r="Y15" s="20"/>
      <c r="Z15" s="20"/>
      <c r="AA15" s="20"/>
      <c r="AB15" s="20"/>
      <c r="AC15" s="20"/>
      <c r="AD15" s="20"/>
      <c r="AE15" s="20"/>
      <c r="AF15" s="20"/>
      <c r="AG15" s="20"/>
    </row>
    <row r="16" spans="1:33" ht="8.4499999999999993" customHeight="1" x14ac:dyDescent="0.25">
      <c r="B16" s="4"/>
      <c r="C16" s="42"/>
      <c r="D16" s="227"/>
      <c r="E16" s="49"/>
      <c r="F16" s="49"/>
      <c r="G16" s="49"/>
      <c r="H16" s="49"/>
      <c r="I16" s="49"/>
      <c r="J16" s="49"/>
      <c r="K16" s="49"/>
      <c r="L16" s="49"/>
      <c r="M16" s="49"/>
      <c r="N16" s="49"/>
      <c r="O16" s="49"/>
      <c r="P16" s="49"/>
      <c r="Q16" s="49"/>
      <c r="R16" s="49"/>
      <c r="S16" s="49"/>
      <c r="T16" s="49"/>
      <c r="U16" s="297"/>
      <c r="V16" s="20"/>
      <c r="W16" s="20"/>
      <c r="X16" s="20"/>
      <c r="Y16" s="20"/>
      <c r="Z16" s="20"/>
      <c r="AA16" s="20"/>
      <c r="AB16" s="20"/>
      <c r="AC16" s="20"/>
      <c r="AD16" s="20"/>
      <c r="AE16" s="20"/>
      <c r="AF16" s="20"/>
      <c r="AG16" s="20"/>
    </row>
    <row r="17" spans="2:33" ht="12" customHeight="1" x14ac:dyDescent="0.25">
      <c r="B17" s="4"/>
      <c r="C17" s="42"/>
      <c r="D17" s="272"/>
      <c r="E17" s="259"/>
      <c r="F17" s="259"/>
      <c r="G17" s="259"/>
      <c r="H17" s="259"/>
      <c r="I17" s="259"/>
      <c r="J17" s="259"/>
      <c r="K17" s="259"/>
      <c r="L17" s="259"/>
      <c r="M17" s="259"/>
      <c r="N17" s="259"/>
      <c r="O17" s="259"/>
      <c r="P17" s="259"/>
      <c r="Q17" s="259"/>
      <c r="R17" s="259"/>
      <c r="S17" s="259"/>
      <c r="T17" s="259"/>
      <c r="U17" s="297"/>
      <c r="V17" s="20"/>
      <c r="W17" s="20"/>
      <c r="X17" s="20"/>
      <c r="Y17" s="20"/>
      <c r="Z17" s="20"/>
      <c r="AA17" s="20"/>
      <c r="AB17" s="20"/>
      <c r="AC17" s="20"/>
      <c r="AD17" s="20"/>
      <c r="AE17" s="20"/>
      <c r="AF17" s="20"/>
      <c r="AG17" s="20"/>
    </row>
    <row r="18" spans="2:33" ht="15.75" x14ac:dyDescent="0.25">
      <c r="B18" s="4"/>
      <c r="C18" s="42"/>
      <c r="D18" s="227"/>
      <c r="E18" s="48" t="s">
        <v>8</v>
      </c>
      <c r="F18" s="374" t="s">
        <v>498</v>
      </c>
      <c r="G18" s="374"/>
      <c r="H18" s="374"/>
      <c r="I18" s="374"/>
      <c r="J18" s="374"/>
      <c r="K18" s="144" t="s">
        <v>2</v>
      </c>
      <c r="L18" s="144"/>
      <c r="M18" s="144" t="str">
        <f>IF(ISNUMBER('Stage 1'!L46),"Value","")</f>
        <v/>
      </c>
      <c r="N18" s="144"/>
      <c r="O18" s="144" t="s">
        <v>2</v>
      </c>
      <c r="P18" s="144" t="s">
        <v>3</v>
      </c>
      <c r="Q18" s="144"/>
      <c r="R18" s="298" t="s">
        <v>148</v>
      </c>
      <c r="S18" s="301">
        <f>'Stage 2'!K46</f>
        <v>4.7974221873437868</v>
      </c>
      <c r="T18" s="49"/>
      <c r="U18" s="297"/>
      <c r="V18" s="20"/>
      <c r="W18" s="20"/>
      <c r="X18" s="20"/>
      <c r="Y18" s="20"/>
      <c r="Z18" s="20"/>
      <c r="AA18" s="20"/>
      <c r="AB18" s="20"/>
      <c r="AC18" s="20"/>
      <c r="AD18" s="20"/>
      <c r="AE18" s="20"/>
      <c r="AF18" s="20"/>
      <c r="AG18" s="20"/>
    </row>
    <row r="19" spans="2:33" ht="3.95" customHeight="1" x14ac:dyDescent="0.25">
      <c r="B19" s="4"/>
      <c r="C19" s="42"/>
      <c r="D19" s="227"/>
      <c r="E19" s="48"/>
      <c r="F19" s="49"/>
      <c r="G19" s="49"/>
      <c r="H19" s="49"/>
      <c r="I19" s="49"/>
      <c r="J19" s="49"/>
      <c r="K19" s="144"/>
      <c r="L19" s="144"/>
      <c r="M19" s="144"/>
      <c r="N19" s="144"/>
      <c r="O19" s="144"/>
      <c r="P19" s="144"/>
      <c r="Q19" s="144"/>
      <c r="R19" s="298"/>
      <c r="S19" s="301"/>
      <c r="T19" s="49"/>
      <c r="U19" s="297"/>
      <c r="V19" s="20"/>
      <c r="W19" s="20"/>
      <c r="X19" s="20"/>
      <c r="Y19" s="20"/>
      <c r="Z19" s="20"/>
      <c r="AA19" s="20"/>
      <c r="AB19" s="20"/>
      <c r="AC19" s="20"/>
      <c r="AD19" s="20"/>
      <c r="AE19" s="20"/>
      <c r="AF19" s="20"/>
      <c r="AG19" s="20"/>
    </row>
    <row r="20" spans="2:33" ht="15.75" x14ac:dyDescent="0.25">
      <c r="B20" s="4"/>
      <c r="C20" s="42"/>
      <c r="D20" s="227"/>
      <c r="E20" s="49"/>
      <c r="F20" s="382" t="s">
        <v>414</v>
      </c>
      <c r="G20" s="382"/>
      <c r="H20" s="382"/>
      <c r="I20" s="382"/>
      <c r="J20" s="382"/>
      <c r="K20" s="273">
        <f>(('Stage 3'!K36)-('Stage 2'!K46))</f>
        <v>-0.64939630602644272</v>
      </c>
      <c r="L20" s="269"/>
      <c r="M20" s="306" t="str">
        <f>IF(ISNUMBER('Stage 1'!L46),(('Stage 3'!K36)-('Stage 2'!K46)),"")</f>
        <v/>
      </c>
      <c r="N20" s="269"/>
      <c r="O20" s="293">
        <f>(('Stage 3'!K36)-('Stage 2'!K46))</f>
        <v>-0.64939630602644272</v>
      </c>
      <c r="P20" s="246" t="s">
        <v>35</v>
      </c>
      <c r="Q20" s="246"/>
      <c r="R20" s="298" t="s">
        <v>149</v>
      </c>
      <c r="S20" s="301">
        <f>'Stage 3'!K36</f>
        <v>4.1480258813173441</v>
      </c>
      <c r="T20" s="49"/>
      <c r="U20" s="297"/>
      <c r="V20" s="20"/>
      <c r="W20" s="20"/>
      <c r="X20" s="20"/>
      <c r="Y20" s="20"/>
      <c r="Z20" s="20"/>
      <c r="AA20" s="20"/>
      <c r="AB20" s="20"/>
      <c r="AC20" s="20"/>
      <c r="AD20" s="20"/>
      <c r="AE20" s="20"/>
      <c r="AF20" s="20"/>
      <c r="AG20" s="20"/>
    </row>
    <row r="21" spans="2:33" ht="15.75" x14ac:dyDescent="0.25">
      <c r="B21" s="4"/>
      <c r="C21" s="42"/>
      <c r="D21" s="227"/>
      <c r="E21" s="49"/>
      <c r="F21" s="382" t="s">
        <v>415</v>
      </c>
      <c r="G21" s="382"/>
      <c r="H21" s="382"/>
      <c r="I21" s="382"/>
      <c r="J21" s="382"/>
      <c r="K21" s="273">
        <f>(('Stage 3'!K38)-('Stage 2'!K48))</f>
        <v>12.873472235751635</v>
      </c>
      <c r="L21" s="269"/>
      <c r="M21" s="302"/>
      <c r="N21" s="269"/>
      <c r="O21" s="293">
        <f>(('Stage 3'!K38)-('Stage 2'!K48))</f>
        <v>12.873472235751635</v>
      </c>
      <c r="P21" s="246" t="s">
        <v>35</v>
      </c>
      <c r="Q21" s="246"/>
      <c r="R21" s="298" t="s">
        <v>421</v>
      </c>
      <c r="S21" s="301">
        <f>'Stage 2'!K48</f>
        <v>30.518342152301855</v>
      </c>
      <c r="T21" s="49"/>
      <c r="U21" s="297"/>
      <c r="V21" s="20"/>
      <c r="W21" s="20"/>
      <c r="X21" s="20"/>
      <c r="Y21" s="20"/>
      <c r="Z21" s="20"/>
      <c r="AA21" s="20"/>
      <c r="AB21" s="20"/>
      <c r="AC21" s="20"/>
      <c r="AD21" s="20"/>
      <c r="AE21" s="20"/>
      <c r="AF21" s="20"/>
      <c r="AG21" s="20"/>
    </row>
    <row r="22" spans="2:33" ht="15.75" x14ac:dyDescent="0.25">
      <c r="B22" s="4"/>
      <c r="C22" s="42"/>
      <c r="D22" s="227"/>
      <c r="E22" s="49"/>
      <c r="F22" s="146"/>
      <c r="G22" s="146"/>
      <c r="H22" s="146"/>
      <c r="I22" s="146"/>
      <c r="J22" s="146"/>
      <c r="K22" s="269"/>
      <c r="L22" s="269"/>
      <c r="M22" s="302"/>
      <c r="N22" s="269"/>
      <c r="O22" s="302"/>
      <c r="P22" s="246"/>
      <c r="Q22" s="246"/>
      <c r="R22" s="298" t="s">
        <v>420</v>
      </c>
      <c r="S22" s="301">
        <f>'Stage 3'!K38</f>
        <v>43.39181438805349</v>
      </c>
      <c r="T22" s="49"/>
      <c r="U22" s="297"/>
      <c r="V22" s="20"/>
      <c r="W22" s="20"/>
      <c r="X22" s="20"/>
      <c r="Y22" s="20"/>
      <c r="Z22" s="20"/>
      <c r="AA22" s="20"/>
      <c r="AB22" s="20"/>
      <c r="AC22" s="20"/>
      <c r="AD22" s="20"/>
      <c r="AE22" s="20"/>
      <c r="AF22" s="20"/>
      <c r="AG22" s="20"/>
    </row>
    <row r="23" spans="2:33" ht="10.5" customHeight="1" x14ac:dyDescent="0.25">
      <c r="B23" s="4"/>
      <c r="C23" s="42"/>
      <c r="D23" s="227"/>
      <c r="E23" s="49"/>
      <c r="F23" s="49"/>
      <c r="G23" s="49"/>
      <c r="H23" s="49"/>
      <c r="I23" s="49"/>
      <c r="J23" s="49"/>
      <c r="K23" s="49"/>
      <c r="L23" s="49"/>
      <c r="M23" s="49"/>
      <c r="N23" s="49"/>
      <c r="O23" s="49"/>
      <c r="P23" s="49"/>
      <c r="Q23" s="49"/>
      <c r="R23" s="49"/>
      <c r="S23" s="49"/>
      <c r="T23" s="49"/>
      <c r="U23" s="297"/>
      <c r="V23" s="20"/>
      <c r="W23" s="20"/>
      <c r="X23" s="20"/>
      <c r="Y23" s="20"/>
      <c r="Z23" s="20"/>
      <c r="AA23" s="20"/>
      <c r="AB23" s="20"/>
      <c r="AC23" s="20"/>
      <c r="AD23" s="20"/>
      <c r="AE23" s="20"/>
      <c r="AF23" s="20"/>
      <c r="AG23" s="20"/>
    </row>
    <row r="24" spans="2:33" ht="15.75" x14ac:dyDescent="0.25">
      <c r="B24" s="4"/>
      <c r="C24" s="42"/>
      <c r="D24" s="227"/>
      <c r="E24" s="259"/>
      <c r="F24" s="259"/>
      <c r="G24" s="259"/>
      <c r="H24" s="259"/>
      <c r="I24" s="259"/>
      <c r="J24" s="259"/>
      <c r="K24" s="259"/>
      <c r="L24" s="259"/>
      <c r="M24" s="259"/>
      <c r="N24" s="259"/>
      <c r="O24" s="259"/>
      <c r="P24" s="259"/>
      <c r="Q24" s="259"/>
      <c r="R24" s="259"/>
      <c r="S24" s="259"/>
      <c r="T24" s="259"/>
      <c r="U24" s="297"/>
      <c r="V24" s="20"/>
      <c r="W24" s="20"/>
      <c r="X24" s="20"/>
      <c r="Y24" s="20"/>
      <c r="Z24" s="20"/>
      <c r="AA24" s="20"/>
      <c r="AB24" s="20"/>
      <c r="AC24" s="20"/>
      <c r="AD24" s="20"/>
      <c r="AE24" s="20"/>
      <c r="AF24" s="20"/>
      <c r="AG24" s="20"/>
    </row>
    <row r="25" spans="2:33" ht="15.75" x14ac:dyDescent="0.25">
      <c r="B25" s="4"/>
      <c r="C25" s="42"/>
      <c r="D25" s="227"/>
      <c r="E25" s="48" t="s">
        <v>12</v>
      </c>
      <c r="F25" s="374" t="s">
        <v>499</v>
      </c>
      <c r="G25" s="374"/>
      <c r="H25" s="374"/>
      <c r="I25" s="374"/>
      <c r="J25" s="374"/>
      <c r="K25" s="144" t="s">
        <v>2</v>
      </c>
      <c r="L25" s="144"/>
      <c r="M25" s="144" t="str">
        <f>IF(ISNUMBER('Stage 1'!L46),"Value","")</f>
        <v/>
      </c>
      <c r="N25" s="144"/>
      <c r="O25" s="144" t="s">
        <v>2</v>
      </c>
      <c r="P25" s="144" t="s">
        <v>3</v>
      </c>
      <c r="Q25" s="144"/>
      <c r="R25" s="144"/>
      <c r="S25" s="144"/>
      <c r="T25" s="49"/>
      <c r="U25" s="297"/>
      <c r="V25" s="20"/>
      <c r="W25" s="20"/>
      <c r="X25" s="20"/>
      <c r="Y25" s="20"/>
      <c r="Z25" s="20"/>
      <c r="AA25" s="20"/>
      <c r="AB25" s="20"/>
      <c r="AC25" s="20"/>
      <c r="AD25" s="20"/>
      <c r="AE25" s="20"/>
      <c r="AF25" s="20"/>
      <c r="AG25" s="20"/>
    </row>
    <row r="26" spans="2:33" ht="6.6" customHeight="1" x14ac:dyDescent="0.25">
      <c r="B26" s="4"/>
      <c r="C26" s="42"/>
      <c r="D26" s="227"/>
      <c r="E26" s="48"/>
      <c r="F26" s="49"/>
      <c r="G26" s="49"/>
      <c r="H26" s="49"/>
      <c r="I26" s="49"/>
      <c r="J26" s="49"/>
      <c r="K26" s="144"/>
      <c r="L26" s="144"/>
      <c r="M26" s="144"/>
      <c r="N26" s="144"/>
      <c r="O26" s="144"/>
      <c r="P26" s="144"/>
      <c r="Q26" s="144"/>
      <c r="R26" s="144"/>
      <c r="S26" s="144"/>
      <c r="T26" s="49"/>
      <c r="U26" s="297"/>
      <c r="V26" s="20"/>
      <c r="W26" s="20"/>
      <c r="X26" s="20"/>
      <c r="Y26" s="20"/>
      <c r="Z26" s="20"/>
      <c r="AA26" s="20"/>
      <c r="AB26" s="20"/>
      <c r="AC26" s="20"/>
      <c r="AD26" s="20"/>
      <c r="AE26" s="20"/>
      <c r="AF26" s="20"/>
      <c r="AG26" s="20"/>
    </row>
    <row r="27" spans="2:33" ht="15.75" x14ac:dyDescent="0.25">
      <c r="B27" s="4"/>
      <c r="C27" s="42"/>
      <c r="D27" s="227"/>
      <c r="E27" s="49"/>
      <c r="F27" s="382" t="s">
        <v>416</v>
      </c>
      <c r="G27" s="382"/>
      <c r="H27" s="382"/>
      <c r="I27" s="382"/>
      <c r="J27" s="382"/>
      <c r="K27" s="273">
        <f>K12+K20</f>
        <v>73.969863793973545</v>
      </c>
      <c r="L27" s="269"/>
      <c r="M27" s="306" t="str">
        <f>IF(ISNUMBER('Stage 1'!L46),M12+M20,"")</f>
        <v/>
      </c>
      <c r="N27" s="269"/>
      <c r="O27" s="293">
        <f>O12+O20</f>
        <v>18.005418718973555</v>
      </c>
      <c r="P27" s="246" t="s">
        <v>35</v>
      </c>
      <c r="Q27" s="246"/>
      <c r="R27" s="246"/>
      <c r="S27" s="246"/>
      <c r="T27" s="49"/>
      <c r="U27" s="297"/>
      <c r="V27" s="20"/>
      <c r="W27" s="20"/>
      <c r="X27" s="20"/>
      <c r="Y27" s="20"/>
      <c r="Z27" s="20"/>
      <c r="AA27" s="20"/>
      <c r="AB27" s="20"/>
      <c r="AC27" s="20"/>
      <c r="AD27" s="20"/>
      <c r="AE27" s="20"/>
      <c r="AF27" s="20"/>
      <c r="AG27" s="20"/>
    </row>
    <row r="28" spans="2:33" ht="15.75" x14ac:dyDescent="0.25">
      <c r="B28" s="4"/>
      <c r="C28" s="42"/>
      <c r="D28" s="227"/>
      <c r="E28" s="49"/>
      <c r="F28" s="146" t="s">
        <v>417</v>
      </c>
      <c r="G28" s="146"/>
      <c r="H28" s="146"/>
      <c r="I28" s="146"/>
      <c r="J28" s="146"/>
      <c r="K28" s="273">
        <f>K13+K21</f>
        <v>2085.6306972357515</v>
      </c>
      <c r="L28" s="269"/>
      <c r="M28" s="302"/>
      <c r="N28" s="269"/>
      <c r="O28" s="293">
        <f>O13+O21</f>
        <v>759.06607323575156</v>
      </c>
      <c r="P28" s="246" t="s">
        <v>35</v>
      </c>
      <c r="Q28" s="246"/>
      <c r="R28" s="246"/>
      <c r="S28" s="246"/>
      <c r="T28" s="49"/>
      <c r="U28" s="297"/>
      <c r="V28" s="20"/>
      <c r="W28" s="20"/>
      <c r="X28" s="20"/>
      <c r="Y28" s="20"/>
      <c r="Z28" s="20"/>
      <c r="AA28" s="20"/>
      <c r="AB28" s="20"/>
      <c r="AC28" s="20"/>
      <c r="AD28" s="20"/>
      <c r="AE28" s="20"/>
      <c r="AF28" s="20"/>
      <c r="AG28" s="20"/>
    </row>
    <row r="29" spans="2:33" ht="15.75" x14ac:dyDescent="0.25">
      <c r="B29" s="4"/>
      <c r="C29" s="42"/>
      <c r="D29" s="227"/>
      <c r="E29" s="49"/>
      <c r="F29" s="49"/>
      <c r="G29" s="49"/>
      <c r="H29" s="49"/>
      <c r="I29" s="49"/>
      <c r="J29" s="49"/>
      <c r="K29" s="49"/>
      <c r="L29" s="49"/>
      <c r="M29" s="49"/>
      <c r="N29" s="49"/>
      <c r="O29" s="49"/>
      <c r="P29" s="49"/>
      <c r="Q29" s="49"/>
      <c r="R29" s="49"/>
      <c r="S29" s="49"/>
      <c r="T29" s="49"/>
      <c r="U29" s="297"/>
      <c r="V29" s="20"/>
      <c r="W29" s="20"/>
      <c r="X29" s="20"/>
      <c r="Y29" s="20"/>
      <c r="Z29" s="20"/>
      <c r="AA29" s="20"/>
      <c r="AB29" s="20"/>
      <c r="AC29" s="20"/>
      <c r="AD29" s="20"/>
      <c r="AE29" s="20"/>
      <c r="AF29" s="20"/>
      <c r="AG29" s="20"/>
    </row>
    <row r="30" spans="2:33" ht="15.75" x14ac:dyDescent="0.25">
      <c r="B30" s="4"/>
      <c r="C30" s="42"/>
      <c r="D30" s="227"/>
      <c r="E30" s="259"/>
      <c r="F30" s="259"/>
      <c r="G30" s="259"/>
      <c r="H30" s="259"/>
      <c r="I30" s="259"/>
      <c r="J30" s="259"/>
      <c r="K30" s="259"/>
      <c r="L30" s="259"/>
      <c r="M30" s="259"/>
      <c r="N30" s="259"/>
      <c r="O30" s="259"/>
      <c r="P30" s="259"/>
      <c r="Q30" s="259"/>
      <c r="R30" s="259"/>
      <c r="S30" s="259"/>
      <c r="T30" s="259"/>
      <c r="U30" s="297"/>
      <c r="V30" s="20"/>
      <c r="W30" s="20"/>
      <c r="X30" s="20"/>
      <c r="Y30" s="20"/>
      <c r="Z30" s="20"/>
      <c r="AA30" s="20"/>
      <c r="AB30" s="20"/>
      <c r="AC30" s="20"/>
      <c r="AD30" s="20"/>
      <c r="AE30" s="20"/>
      <c r="AF30" s="20"/>
      <c r="AG30" s="20"/>
    </row>
    <row r="31" spans="2:33" ht="15.75" x14ac:dyDescent="0.25">
      <c r="B31" s="4"/>
      <c r="C31" s="42"/>
      <c r="D31" s="227"/>
      <c r="E31" s="48" t="s">
        <v>14</v>
      </c>
      <c r="F31" s="374" t="s">
        <v>500</v>
      </c>
      <c r="G31" s="374"/>
      <c r="H31" s="374"/>
      <c r="I31" s="374"/>
      <c r="J31" s="374"/>
      <c r="K31" s="144" t="s">
        <v>2</v>
      </c>
      <c r="L31" s="144"/>
      <c r="M31" s="144" t="str">
        <f>IF(ISNUMBER('Stage 1'!L46),"Value","")</f>
        <v/>
      </c>
      <c r="N31" s="144"/>
      <c r="O31" s="144" t="s">
        <v>2</v>
      </c>
      <c r="P31" s="144" t="s">
        <v>3</v>
      </c>
      <c r="Q31" s="144"/>
      <c r="R31" s="144"/>
      <c r="S31" s="144"/>
      <c r="T31" s="49"/>
      <c r="U31" s="297"/>
      <c r="V31" s="20"/>
      <c r="W31" s="20"/>
      <c r="X31" s="20"/>
      <c r="Y31" s="20"/>
      <c r="Z31" s="20"/>
      <c r="AA31" s="20"/>
      <c r="AB31" s="20"/>
      <c r="AC31" s="20"/>
      <c r="AD31" s="20"/>
      <c r="AE31" s="20"/>
      <c r="AF31" s="20"/>
      <c r="AG31" s="20"/>
    </row>
    <row r="32" spans="2:33" ht="6" customHeight="1" x14ac:dyDescent="0.25">
      <c r="B32" s="4"/>
      <c r="C32" s="42"/>
      <c r="D32" s="227"/>
      <c r="E32" s="48"/>
      <c r="F32" s="49"/>
      <c r="G32" s="49"/>
      <c r="H32" s="49"/>
      <c r="I32" s="49"/>
      <c r="J32" s="49"/>
      <c r="K32" s="144"/>
      <c r="L32" s="144"/>
      <c r="M32" s="144"/>
      <c r="N32" s="144"/>
      <c r="O32" s="144"/>
      <c r="P32" s="144"/>
      <c r="Q32" s="144"/>
      <c r="R32" s="144"/>
      <c r="S32" s="144"/>
      <c r="T32" s="49"/>
      <c r="U32" s="297"/>
      <c r="V32" s="20"/>
      <c r="W32" s="20"/>
      <c r="X32" s="20"/>
      <c r="Y32" s="20"/>
      <c r="Z32" s="20"/>
      <c r="AA32" s="20"/>
      <c r="AB32" s="20"/>
      <c r="AC32" s="20"/>
      <c r="AD32" s="20"/>
      <c r="AE32" s="20"/>
      <c r="AF32" s="20"/>
      <c r="AG32" s="20"/>
    </row>
    <row r="33" spans="2:33" ht="15.95" customHeight="1" x14ac:dyDescent="0.25">
      <c r="B33" s="4"/>
      <c r="C33" s="42"/>
      <c r="D33" s="227"/>
      <c r="E33" s="48"/>
      <c r="F33" s="374" t="s">
        <v>67</v>
      </c>
      <c r="G33" s="374"/>
      <c r="H33" s="374"/>
      <c r="I33" s="374"/>
      <c r="J33" s="374"/>
      <c r="K33" s="243">
        <v>20</v>
      </c>
      <c r="L33" s="144"/>
      <c r="M33" s="144" t="str">
        <f>IF(ISNUMBER('Stage 1'!L46),20,"")</f>
        <v/>
      </c>
      <c r="N33" s="144"/>
      <c r="O33" s="243">
        <v>20</v>
      </c>
      <c r="P33" s="240" t="s">
        <v>55</v>
      </c>
      <c r="Q33" s="144"/>
      <c r="R33" s="144"/>
      <c r="S33" s="144"/>
      <c r="T33" s="49"/>
      <c r="U33" s="297"/>
      <c r="V33" s="20"/>
      <c r="W33" s="20"/>
      <c r="X33" s="20"/>
      <c r="Y33" s="20"/>
      <c r="Z33" s="20"/>
      <c r="AA33" s="20"/>
      <c r="AB33" s="20"/>
      <c r="AC33" s="20"/>
      <c r="AD33" s="20"/>
      <c r="AE33" s="20"/>
      <c r="AF33" s="20"/>
      <c r="AG33" s="20"/>
    </row>
    <row r="34" spans="2:33" ht="15" customHeight="1" x14ac:dyDescent="0.25">
      <c r="B34" s="4"/>
      <c r="C34" s="42"/>
      <c r="D34" s="227"/>
      <c r="E34" s="49"/>
      <c r="F34" s="374" t="s">
        <v>418</v>
      </c>
      <c r="G34" s="374"/>
      <c r="H34" s="374"/>
      <c r="I34" s="374"/>
      <c r="J34" s="374"/>
      <c r="K34" s="273">
        <f>IF(K27&gt;0,K27*(K33/100),K27*0)</f>
        <v>14.793972758794709</v>
      </c>
      <c r="L34" s="269"/>
      <c r="M34" s="269" t="str">
        <f>IF(ISNUMBER('Stage 1'!L46),IF(M27&gt;0,M27*(M33/100),M27*0),"")</f>
        <v/>
      </c>
      <c r="N34" s="269"/>
      <c r="O34" s="273">
        <f>IF(O27&gt;0,O27*(O33/100),O27*0)</f>
        <v>3.6010837437947112</v>
      </c>
      <c r="P34" s="246" t="s">
        <v>35</v>
      </c>
      <c r="Q34" s="246"/>
      <c r="R34" s="246"/>
      <c r="S34" s="246"/>
      <c r="T34" s="49"/>
      <c r="U34" s="297"/>
      <c r="V34" s="20"/>
      <c r="W34" s="20"/>
      <c r="X34" s="20"/>
      <c r="Y34" s="20"/>
      <c r="Z34" s="20"/>
      <c r="AA34" s="20"/>
      <c r="AB34" s="20"/>
      <c r="AC34" s="20"/>
      <c r="AD34" s="20"/>
      <c r="AE34" s="20"/>
      <c r="AF34" s="20"/>
      <c r="AG34" s="20"/>
    </row>
    <row r="35" spans="2:33" ht="15.75" x14ac:dyDescent="0.25">
      <c r="B35" s="4"/>
      <c r="C35" s="42"/>
      <c r="D35" s="227"/>
      <c r="E35" s="49"/>
      <c r="F35" s="49" t="s">
        <v>419</v>
      </c>
      <c r="G35" s="49"/>
      <c r="H35" s="49"/>
      <c r="I35" s="49"/>
      <c r="J35" s="49"/>
      <c r="K35" s="273">
        <f>IF(K28&gt;0,K28*(K33/100),K28*0)</f>
        <v>417.12613944715031</v>
      </c>
      <c r="L35" s="269"/>
      <c r="M35" s="302"/>
      <c r="N35" s="269"/>
      <c r="O35" s="273">
        <f>IF(O28&gt;0,O28*(O33/100),O28*0)</f>
        <v>151.81321464715032</v>
      </c>
      <c r="P35" s="246" t="s">
        <v>35</v>
      </c>
      <c r="Q35" s="49"/>
      <c r="R35" s="49"/>
      <c r="S35" s="49"/>
      <c r="T35" s="49"/>
      <c r="U35" s="297"/>
      <c r="V35" s="20"/>
      <c r="W35" s="20" t="s">
        <v>445</v>
      </c>
      <c r="X35" s="20"/>
      <c r="Y35" s="20"/>
      <c r="Z35" s="20"/>
      <c r="AA35" s="20"/>
      <c r="AB35" s="20"/>
      <c r="AC35" s="20"/>
      <c r="AD35" s="20"/>
      <c r="AE35" s="20"/>
      <c r="AF35" s="20"/>
      <c r="AG35" s="20"/>
    </row>
    <row r="36" spans="2:33" ht="15.75" x14ac:dyDescent="0.25">
      <c r="B36" s="4"/>
      <c r="C36" s="42"/>
      <c r="D36" s="227"/>
      <c r="E36" s="49"/>
      <c r="F36" s="49"/>
      <c r="G36" s="49"/>
      <c r="H36" s="49"/>
      <c r="I36" s="49"/>
      <c r="J36" s="49"/>
      <c r="K36" s="49"/>
      <c r="L36" s="49"/>
      <c r="M36" s="49"/>
      <c r="N36" s="49"/>
      <c r="O36" s="49"/>
      <c r="P36" s="49"/>
      <c r="Q36" s="49"/>
      <c r="R36" s="49"/>
      <c r="S36" s="49"/>
      <c r="T36" s="49"/>
      <c r="U36" s="297"/>
      <c r="V36" s="20"/>
      <c r="W36" s="20" t="s">
        <v>250</v>
      </c>
      <c r="X36" s="20"/>
      <c r="Y36" s="20"/>
      <c r="Z36" s="20"/>
      <c r="AA36" s="20"/>
      <c r="AB36" s="20"/>
      <c r="AC36" s="20"/>
      <c r="AD36" s="20"/>
      <c r="AE36" s="20"/>
      <c r="AF36" s="20"/>
      <c r="AG36" s="20"/>
    </row>
    <row r="37" spans="2:33" ht="12.6" customHeight="1" x14ac:dyDescent="0.25">
      <c r="B37" s="4"/>
      <c r="C37" s="42"/>
      <c r="D37" s="227"/>
      <c r="E37" s="428" t="s">
        <v>542</v>
      </c>
      <c r="F37" s="428"/>
      <c r="G37" s="428"/>
      <c r="H37" s="428"/>
      <c r="I37" s="428"/>
      <c r="J37" s="428"/>
      <c r="K37" s="428"/>
      <c r="L37" s="428"/>
      <c r="M37" s="428"/>
      <c r="N37" s="428"/>
      <c r="O37" s="428"/>
      <c r="P37" s="428"/>
      <c r="Q37" s="428"/>
      <c r="R37" s="428"/>
      <c r="S37" s="428"/>
      <c r="T37" s="428"/>
      <c r="U37" s="297"/>
      <c r="V37" s="20"/>
      <c r="W37" s="20"/>
      <c r="X37" s="20"/>
      <c r="Y37" s="20"/>
      <c r="Z37" s="20"/>
      <c r="AA37" s="20"/>
      <c r="AB37" s="20"/>
      <c r="AC37" s="20"/>
      <c r="AD37" s="20"/>
      <c r="AE37" s="20"/>
      <c r="AF37" s="20"/>
      <c r="AG37" s="20"/>
    </row>
    <row r="38" spans="2:33" ht="38.1" customHeight="1" x14ac:dyDescent="0.25">
      <c r="B38" s="4"/>
      <c r="C38" s="42"/>
      <c r="D38" s="227"/>
      <c r="E38" s="428"/>
      <c r="F38" s="428"/>
      <c r="G38" s="428"/>
      <c r="H38" s="428"/>
      <c r="I38" s="428"/>
      <c r="J38" s="428"/>
      <c r="K38" s="428"/>
      <c r="L38" s="428"/>
      <c r="M38" s="428"/>
      <c r="N38" s="428"/>
      <c r="O38" s="428"/>
      <c r="P38" s="428"/>
      <c r="Q38" s="428"/>
      <c r="R38" s="428"/>
      <c r="S38" s="428"/>
      <c r="T38" s="428"/>
      <c r="U38" s="297"/>
      <c r="V38" s="20"/>
      <c r="W38" s="20" t="s">
        <v>555</v>
      </c>
      <c r="X38" s="20"/>
      <c r="Y38" s="20"/>
      <c r="Z38" s="20"/>
      <c r="AA38" s="20"/>
      <c r="AB38" s="20"/>
      <c r="AC38" s="20"/>
      <c r="AD38" s="20"/>
      <c r="AE38" s="20"/>
      <c r="AF38" s="20"/>
      <c r="AG38" s="20"/>
    </row>
    <row r="39" spans="2:33" ht="1.5" customHeight="1" x14ac:dyDescent="0.25">
      <c r="B39" s="4"/>
      <c r="C39" s="42"/>
      <c r="D39" s="227"/>
      <c r="E39" s="307"/>
      <c r="F39" s="307"/>
      <c r="G39" s="307"/>
      <c r="H39" s="307"/>
      <c r="I39" s="307"/>
      <c r="J39" s="307"/>
      <c r="K39" s="307"/>
      <c r="L39" s="307"/>
      <c r="M39" s="307"/>
      <c r="N39" s="307"/>
      <c r="O39" s="307"/>
      <c r="P39" s="307"/>
      <c r="Q39" s="307"/>
      <c r="R39" s="307"/>
      <c r="S39" s="307"/>
      <c r="T39" s="307"/>
      <c r="U39" s="297"/>
      <c r="V39" s="20"/>
      <c r="W39" s="20"/>
      <c r="X39" s="20"/>
      <c r="Y39" s="20"/>
      <c r="Z39" s="20"/>
      <c r="AA39" s="20"/>
      <c r="AB39" s="20"/>
      <c r="AC39" s="20"/>
      <c r="AD39" s="20"/>
      <c r="AE39" s="20"/>
      <c r="AF39" s="20"/>
      <c r="AG39" s="20"/>
    </row>
    <row r="40" spans="2:33" ht="15.75" x14ac:dyDescent="0.25">
      <c r="B40" s="4"/>
      <c r="C40" s="42"/>
      <c r="D40" s="227"/>
      <c r="E40" s="259"/>
      <c r="F40" s="259"/>
      <c r="G40" s="259"/>
      <c r="H40" s="259"/>
      <c r="I40" s="259"/>
      <c r="J40" s="259"/>
      <c r="K40" s="259"/>
      <c r="L40" s="259"/>
      <c r="M40" s="259"/>
      <c r="N40" s="259"/>
      <c r="O40" s="259"/>
      <c r="P40" s="259"/>
      <c r="Q40" s="259"/>
      <c r="R40" s="259"/>
      <c r="S40" s="259"/>
      <c r="T40" s="259"/>
      <c r="U40" s="297"/>
      <c r="V40" s="20"/>
      <c r="W40" s="20" t="s">
        <v>556</v>
      </c>
      <c r="X40" s="20"/>
      <c r="Y40" s="20"/>
      <c r="Z40" s="20"/>
      <c r="AA40" s="20"/>
      <c r="AB40" s="20"/>
      <c r="AC40" s="20"/>
      <c r="AD40" s="20"/>
      <c r="AE40" s="20"/>
      <c r="AF40" s="20"/>
      <c r="AG40" s="20"/>
    </row>
    <row r="41" spans="2:33" ht="15.75" x14ac:dyDescent="0.25">
      <c r="B41" s="4"/>
      <c r="C41" s="42"/>
      <c r="D41" s="227"/>
      <c r="E41" s="48" t="s">
        <v>27</v>
      </c>
      <c r="F41" s="382" t="s">
        <v>501</v>
      </c>
      <c r="G41" s="382"/>
      <c r="H41" s="382"/>
      <c r="I41" s="382"/>
      <c r="J41" s="382"/>
      <c r="K41" s="144" t="s">
        <v>2</v>
      </c>
      <c r="L41" s="144"/>
      <c r="M41" s="144" t="str">
        <f>IF(ISNUMBER('Stage 1'!L46),"Value","")</f>
        <v/>
      </c>
      <c r="N41" s="144"/>
      <c r="O41" s="144"/>
      <c r="P41" s="144" t="s">
        <v>3</v>
      </c>
      <c r="Q41" s="144"/>
      <c r="R41" s="144"/>
      <c r="S41" s="144"/>
      <c r="T41" s="49"/>
      <c r="U41" s="297"/>
      <c r="V41" s="20"/>
      <c r="W41" s="20" t="s">
        <v>557</v>
      </c>
      <c r="X41" s="20"/>
      <c r="Y41" s="20"/>
      <c r="Z41" s="20"/>
      <c r="AA41" s="20"/>
      <c r="AB41" s="20"/>
      <c r="AC41" s="20"/>
      <c r="AD41" s="20"/>
      <c r="AE41" s="20"/>
      <c r="AF41" s="20"/>
      <c r="AG41" s="20"/>
    </row>
    <row r="42" spans="2:33" ht="6.6" customHeight="1" x14ac:dyDescent="0.25">
      <c r="B42" s="4"/>
      <c r="C42" s="42"/>
      <c r="D42" s="227"/>
      <c r="E42" s="48"/>
      <c r="F42" s="49"/>
      <c r="G42" s="49"/>
      <c r="H42" s="49"/>
      <c r="I42" s="49"/>
      <c r="J42" s="49"/>
      <c r="K42" s="144"/>
      <c r="L42" s="144"/>
      <c r="M42" s="144"/>
      <c r="N42" s="144"/>
      <c r="O42" s="144"/>
      <c r="P42" s="144"/>
      <c r="Q42" s="144"/>
      <c r="R42" s="144"/>
      <c r="S42" s="144"/>
      <c r="T42" s="49"/>
      <c r="U42" s="297"/>
      <c r="V42" s="20"/>
      <c r="W42" s="20" t="s">
        <v>559</v>
      </c>
      <c r="X42" s="20"/>
      <c r="Y42" s="20"/>
      <c r="Z42" s="20"/>
      <c r="AA42" s="20"/>
      <c r="AB42" s="20"/>
      <c r="AC42" s="20"/>
      <c r="AD42" s="20"/>
      <c r="AE42" s="20"/>
      <c r="AF42" s="20"/>
      <c r="AG42" s="20"/>
    </row>
    <row r="43" spans="2:33" ht="15.75" x14ac:dyDescent="0.25">
      <c r="B43" s="4"/>
      <c r="C43" s="42"/>
      <c r="D43" s="227"/>
      <c r="E43" s="49"/>
      <c r="F43" s="382" t="s">
        <v>255</v>
      </c>
      <c r="G43" s="382"/>
      <c r="H43" s="382"/>
      <c r="I43" s="382"/>
      <c r="J43" s="382"/>
      <c r="K43" s="273">
        <f>K27+K34</f>
        <v>88.763836552768254</v>
      </c>
      <c r="L43" s="269"/>
      <c r="M43" s="306" t="str">
        <f>IF(ISNUMBER('Stage 1'!L46),M27+M34,"")</f>
        <v/>
      </c>
      <c r="N43" s="269"/>
      <c r="O43" s="273">
        <f>O27+O34</f>
        <v>21.606502462768265</v>
      </c>
      <c r="P43" s="246" t="s">
        <v>15</v>
      </c>
      <c r="Q43" s="246"/>
      <c r="R43" s="246"/>
      <c r="S43" s="246"/>
      <c r="T43" s="49"/>
      <c r="U43" s="297"/>
      <c r="V43" s="20"/>
      <c r="W43" s="20" t="s">
        <v>558</v>
      </c>
      <c r="X43" s="20"/>
      <c r="Y43" s="20"/>
      <c r="Z43" s="20"/>
      <c r="AA43" s="20"/>
      <c r="AB43" s="20"/>
      <c r="AC43" s="20"/>
      <c r="AD43" s="20"/>
      <c r="AE43" s="20"/>
      <c r="AF43" s="20"/>
      <c r="AG43" s="20"/>
    </row>
    <row r="44" spans="2:33" ht="15.75" x14ac:dyDescent="0.25">
      <c r="B44" s="4"/>
      <c r="C44" s="42"/>
      <c r="D44" s="227"/>
      <c r="E44" s="49"/>
      <c r="F44" s="382" t="s">
        <v>505</v>
      </c>
      <c r="G44" s="382"/>
      <c r="H44" s="382"/>
      <c r="I44" s="382"/>
      <c r="J44" s="382"/>
      <c r="K44" s="273">
        <f>K28+K35</f>
        <v>2502.7568366829018</v>
      </c>
      <c r="L44" s="269"/>
      <c r="M44" s="302"/>
      <c r="N44" s="302"/>
      <c r="O44" s="273">
        <f>O28+O35</f>
        <v>910.87928788290185</v>
      </c>
      <c r="P44" s="246" t="s">
        <v>15</v>
      </c>
      <c r="Q44" s="49"/>
      <c r="R44" s="49"/>
      <c r="S44" s="49"/>
      <c r="T44" s="49"/>
      <c r="U44" s="297"/>
      <c r="V44" s="20"/>
      <c r="W44" s="20"/>
      <c r="X44" s="20"/>
      <c r="Y44" s="20"/>
      <c r="Z44" s="20"/>
      <c r="AA44" s="20"/>
      <c r="AB44" s="20"/>
      <c r="AC44" s="20"/>
      <c r="AD44" s="20"/>
      <c r="AE44" s="20"/>
      <c r="AF44" s="20"/>
      <c r="AG44" s="20"/>
    </row>
    <row r="45" spans="2:33" ht="15.75" x14ac:dyDescent="0.25">
      <c r="B45" s="4"/>
      <c r="C45" s="42"/>
      <c r="D45" s="227"/>
      <c r="E45" s="227"/>
      <c r="F45" s="227"/>
      <c r="G45" s="227"/>
      <c r="H45" s="227"/>
      <c r="I45" s="227"/>
      <c r="J45" s="227"/>
      <c r="K45" s="227"/>
      <c r="L45" s="227"/>
      <c r="M45" s="227"/>
      <c r="N45" s="227"/>
      <c r="O45" s="227"/>
      <c r="P45" s="227"/>
      <c r="Q45" s="227"/>
      <c r="R45" s="227"/>
      <c r="S45" s="227"/>
      <c r="T45" s="227"/>
      <c r="U45" s="297"/>
      <c r="V45" s="20"/>
      <c r="W45" s="20"/>
      <c r="X45" s="20"/>
      <c r="Y45" s="20"/>
      <c r="Z45" s="20"/>
      <c r="AA45" s="20"/>
      <c r="AB45" s="20"/>
      <c r="AC45" s="20"/>
      <c r="AD45" s="20"/>
      <c r="AE45" s="20"/>
      <c r="AF45" s="20"/>
      <c r="AG45" s="20"/>
    </row>
    <row r="46" spans="2:33" ht="12.6" customHeight="1" x14ac:dyDescent="0.25">
      <c r="B46" s="4"/>
      <c r="C46" s="42"/>
      <c r="D46" s="446" t="s">
        <v>560</v>
      </c>
      <c r="E46" s="446"/>
      <c r="F46" s="446"/>
      <c r="G46" s="446"/>
      <c r="H46" s="446"/>
      <c r="I46" s="446"/>
      <c r="J46" s="446"/>
      <c r="K46" s="446"/>
      <c r="L46" s="446"/>
      <c r="M46" s="446"/>
      <c r="N46" s="446"/>
      <c r="O46" s="446"/>
      <c r="P46" s="446"/>
      <c r="Q46" s="446"/>
      <c r="R46" s="446"/>
      <c r="S46" s="446"/>
      <c r="T46" s="446"/>
      <c r="U46" s="297"/>
      <c r="V46" s="20"/>
      <c r="W46" s="20"/>
      <c r="X46" s="20"/>
      <c r="Y46" s="20"/>
      <c r="Z46" s="20"/>
      <c r="AA46" s="20"/>
      <c r="AB46" s="20"/>
      <c r="AC46" s="20"/>
      <c r="AD46" s="20"/>
      <c r="AE46" s="20"/>
      <c r="AF46" s="20"/>
      <c r="AG46" s="20"/>
    </row>
    <row r="47" spans="2:33" ht="35.450000000000003" customHeight="1" x14ac:dyDescent="0.2">
      <c r="B47" s="4"/>
      <c r="C47" s="42"/>
      <c r="D47" s="445" t="str">
        <f>IF(K43&gt;0,W38,W36)</f>
        <v>Development will generate additional Phosphate (Mitigation required) - Please progress to 'Mitigation current' tab</v>
      </c>
      <c r="E47" s="445"/>
      <c r="F47" s="445"/>
      <c r="G47" s="445"/>
      <c r="H47" s="445"/>
      <c r="I47" s="445"/>
      <c r="J47" s="445"/>
      <c r="K47" s="445"/>
      <c r="L47" s="445"/>
      <c r="M47" s="445"/>
      <c r="N47" s="445"/>
      <c r="O47" s="445"/>
      <c r="P47" s="445"/>
      <c r="Q47" s="445"/>
      <c r="R47" s="445"/>
      <c r="S47" s="445"/>
      <c r="T47" s="445"/>
      <c r="U47" s="297"/>
      <c r="V47" s="20"/>
      <c r="W47" s="20"/>
      <c r="X47" s="20"/>
      <c r="Y47" s="20"/>
      <c r="Z47" s="20"/>
      <c r="AA47" s="20"/>
      <c r="AB47" s="20"/>
      <c r="AC47" s="20"/>
      <c r="AD47" s="20"/>
      <c r="AE47" s="20"/>
      <c r="AF47" s="20"/>
      <c r="AG47" s="20"/>
    </row>
    <row r="48" spans="2:33" ht="4.5" customHeight="1" x14ac:dyDescent="0.2">
      <c r="B48" s="4"/>
      <c r="C48" s="42"/>
      <c r="D48" s="445"/>
      <c r="E48" s="445"/>
      <c r="F48" s="445"/>
      <c r="G48" s="445"/>
      <c r="H48" s="445"/>
      <c r="I48" s="445"/>
      <c r="J48" s="445"/>
      <c r="K48" s="445"/>
      <c r="L48" s="445"/>
      <c r="M48" s="445"/>
      <c r="N48" s="445"/>
      <c r="O48" s="445"/>
      <c r="P48" s="445"/>
      <c r="Q48" s="445"/>
      <c r="R48" s="445"/>
      <c r="S48" s="445"/>
      <c r="T48" s="445"/>
      <c r="U48" s="297"/>
      <c r="V48" s="20"/>
      <c r="W48" s="20"/>
      <c r="X48" s="20"/>
      <c r="Y48" s="20"/>
      <c r="Z48" s="20"/>
      <c r="AA48" s="20"/>
      <c r="AB48" s="20"/>
      <c r="AC48" s="20"/>
      <c r="AD48" s="20"/>
      <c r="AE48" s="20"/>
      <c r="AF48" s="20"/>
      <c r="AG48" s="20"/>
    </row>
    <row r="49" spans="2:33" ht="12.95" customHeight="1" x14ac:dyDescent="0.2">
      <c r="B49" s="4"/>
      <c r="C49" s="42"/>
      <c r="D49" s="445" t="str">
        <f>IF(ISNUMBER('Stage 1'!L46),"Post 2025 TP loading","")</f>
        <v/>
      </c>
      <c r="E49" s="445"/>
      <c r="F49" s="445"/>
      <c r="G49" s="445"/>
      <c r="H49" s="445"/>
      <c r="I49" s="445"/>
      <c r="J49" s="445"/>
      <c r="K49" s="445"/>
      <c r="L49" s="445"/>
      <c r="M49" s="445"/>
      <c r="N49" s="445"/>
      <c r="O49" s="445"/>
      <c r="P49" s="445"/>
      <c r="Q49" s="445"/>
      <c r="R49" s="445"/>
      <c r="S49" s="445"/>
      <c r="T49" s="445"/>
      <c r="U49" s="297"/>
      <c r="V49" s="20"/>
      <c r="W49" s="20"/>
      <c r="X49" s="20"/>
      <c r="Y49" s="20"/>
      <c r="Z49" s="20"/>
      <c r="AA49" s="20"/>
      <c r="AB49" s="20"/>
      <c r="AC49" s="20"/>
      <c r="AD49" s="20"/>
      <c r="AE49" s="20"/>
      <c r="AF49" s="20"/>
      <c r="AG49" s="20"/>
    </row>
    <row r="50" spans="2:33" ht="35.450000000000003" customHeight="1" x14ac:dyDescent="0.2">
      <c r="B50" s="4"/>
      <c r="C50" s="42"/>
      <c r="D50" s="445" t="str">
        <f>IF(ISNUMBER('Stage 1'!L46),IF(M43&gt;0,W40,W36),"")</f>
        <v/>
      </c>
      <c r="E50" s="445"/>
      <c r="F50" s="445"/>
      <c r="G50" s="445"/>
      <c r="H50" s="445"/>
      <c r="I50" s="445"/>
      <c r="J50" s="445"/>
      <c r="K50" s="445"/>
      <c r="L50" s="445"/>
      <c r="M50" s="445"/>
      <c r="N50" s="445"/>
      <c r="O50" s="445"/>
      <c r="P50" s="445"/>
      <c r="Q50" s="445"/>
      <c r="R50" s="445"/>
      <c r="S50" s="445"/>
      <c r="T50" s="445"/>
      <c r="U50" s="297"/>
      <c r="V50" s="20"/>
      <c r="W50" s="20"/>
      <c r="X50" s="20"/>
      <c r="Y50" s="20"/>
      <c r="Z50" s="20"/>
      <c r="AA50" s="20"/>
      <c r="AB50" s="20"/>
      <c r="AC50" s="20"/>
      <c r="AD50" s="20"/>
      <c r="AE50" s="20"/>
      <c r="AF50" s="20"/>
      <c r="AG50" s="20"/>
    </row>
    <row r="51" spans="2:33" ht="3.95" customHeight="1" x14ac:dyDescent="0.2">
      <c r="B51" s="4"/>
      <c r="C51" s="42"/>
      <c r="D51" s="281"/>
      <c r="E51" s="281"/>
      <c r="F51" s="281"/>
      <c r="G51" s="281"/>
      <c r="H51" s="281"/>
      <c r="I51" s="281"/>
      <c r="J51" s="281"/>
      <c r="K51" s="281"/>
      <c r="L51" s="281"/>
      <c r="M51" s="281"/>
      <c r="N51" s="281"/>
      <c r="O51" s="281"/>
      <c r="P51" s="281"/>
      <c r="Q51" s="281"/>
      <c r="R51" s="281"/>
      <c r="S51" s="281"/>
      <c r="T51" s="281"/>
      <c r="U51" s="297"/>
      <c r="V51" s="20"/>
      <c r="W51" s="20"/>
      <c r="X51" s="20"/>
      <c r="Y51" s="20"/>
      <c r="Z51" s="20"/>
      <c r="AA51" s="20"/>
      <c r="AB51" s="20"/>
      <c r="AC51" s="20"/>
      <c r="AD51" s="20"/>
      <c r="AE51" s="20"/>
      <c r="AF51" s="20"/>
      <c r="AG51" s="20"/>
    </row>
    <row r="52" spans="2:33" ht="15.6" customHeight="1" x14ac:dyDescent="0.2">
      <c r="B52" s="4"/>
      <c r="C52" s="42"/>
      <c r="D52" s="445" t="s">
        <v>561</v>
      </c>
      <c r="E52" s="445"/>
      <c r="F52" s="445"/>
      <c r="G52" s="445"/>
      <c r="H52" s="445"/>
      <c r="I52" s="445"/>
      <c r="J52" s="445"/>
      <c r="K52" s="445"/>
      <c r="L52" s="445"/>
      <c r="M52" s="445"/>
      <c r="N52" s="445"/>
      <c r="O52" s="445"/>
      <c r="P52" s="445"/>
      <c r="Q52" s="445"/>
      <c r="R52" s="445"/>
      <c r="S52" s="445"/>
      <c r="T52" s="445"/>
      <c r="U52" s="297"/>
      <c r="V52" s="20"/>
      <c r="W52" s="20"/>
      <c r="X52" s="20"/>
      <c r="Y52" s="20"/>
      <c r="Z52" s="20"/>
      <c r="AA52" s="20"/>
      <c r="AB52" s="20"/>
      <c r="AC52" s="20"/>
      <c r="AD52" s="20"/>
      <c r="AE52" s="20"/>
      <c r="AF52" s="20"/>
      <c r="AG52" s="20"/>
    </row>
    <row r="53" spans="2:33" ht="35.450000000000003" customHeight="1" x14ac:dyDescent="0.2">
      <c r="B53" s="4"/>
      <c r="C53" s="42"/>
      <c r="D53" s="445" t="str">
        <f>IF(O43&gt;0,W42,W36)</f>
        <v>Development will generate additional Phosphate (Mitigation required) - Please progress to 'Mitigation - post 2030' tab</v>
      </c>
      <c r="E53" s="445"/>
      <c r="F53" s="445"/>
      <c r="G53" s="445"/>
      <c r="H53" s="445"/>
      <c r="I53" s="445"/>
      <c r="J53" s="445"/>
      <c r="K53" s="445"/>
      <c r="L53" s="445"/>
      <c r="M53" s="445"/>
      <c r="N53" s="445"/>
      <c r="O53" s="445"/>
      <c r="P53" s="445"/>
      <c r="Q53" s="445"/>
      <c r="R53" s="445"/>
      <c r="S53" s="445"/>
      <c r="T53" s="445"/>
      <c r="U53" s="297"/>
      <c r="V53" s="20"/>
      <c r="W53" s="20"/>
      <c r="X53" s="20"/>
      <c r="Y53" s="20"/>
      <c r="Z53" s="20"/>
      <c r="AA53" s="20"/>
      <c r="AB53" s="20"/>
      <c r="AC53" s="20"/>
      <c r="AD53" s="20"/>
      <c r="AE53" s="20"/>
      <c r="AF53" s="20"/>
      <c r="AG53" s="20"/>
    </row>
    <row r="54" spans="2:33" ht="9" customHeight="1" x14ac:dyDescent="0.2">
      <c r="B54" s="4"/>
      <c r="C54" s="42"/>
      <c r="D54" s="281"/>
      <c r="E54" s="281"/>
      <c r="F54" s="281"/>
      <c r="G54" s="281"/>
      <c r="H54" s="281"/>
      <c r="I54" s="281"/>
      <c r="J54" s="281"/>
      <c r="K54" s="281"/>
      <c r="L54" s="281"/>
      <c r="M54" s="281"/>
      <c r="N54" s="281"/>
      <c r="O54" s="281"/>
      <c r="P54" s="281"/>
      <c r="Q54" s="281"/>
      <c r="R54" s="281"/>
      <c r="S54" s="281"/>
      <c r="T54" s="281"/>
      <c r="U54" s="297"/>
      <c r="V54" s="20"/>
      <c r="W54" s="20"/>
      <c r="X54" s="20"/>
      <c r="Y54" s="20"/>
      <c r="Z54" s="20"/>
      <c r="AA54" s="20"/>
      <c r="AB54" s="20"/>
      <c r="AC54" s="20"/>
      <c r="AD54" s="20"/>
      <c r="AE54" s="20"/>
      <c r="AF54" s="20"/>
      <c r="AG54" s="20"/>
    </row>
    <row r="55" spans="2:33" ht="16.5" customHeight="1" x14ac:dyDescent="0.2">
      <c r="B55" s="4"/>
      <c r="C55" s="42"/>
      <c r="D55" s="445" t="s">
        <v>562</v>
      </c>
      <c r="E55" s="445"/>
      <c r="F55" s="445"/>
      <c r="G55" s="445"/>
      <c r="H55" s="445"/>
      <c r="I55" s="445"/>
      <c r="J55" s="445"/>
      <c r="K55" s="445"/>
      <c r="L55" s="445"/>
      <c r="M55" s="445"/>
      <c r="N55" s="445"/>
      <c r="O55" s="445"/>
      <c r="P55" s="445"/>
      <c r="Q55" s="445"/>
      <c r="R55" s="445"/>
      <c r="S55" s="445"/>
      <c r="T55" s="445"/>
      <c r="U55" s="297"/>
      <c r="V55" s="20"/>
      <c r="W55" s="20"/>
      <c r="X55" s="20"/>
      <c r="Y55" s="20"/>
      <c r="Z55" s="20"/>
      <c r="AA55" s="20"/>
      <c r="AB55" s="20"/>
      <c r="AC55" s="20"/>
      <c r="AD55" s="20"/>
      <c r="AE55" s="20"/>
      <c r="AF55" s="20"/>
      <c r="AG55" s="20"/>
    </row>
    <row r="56" spans="2:33" ht="35.450000000000003" customHeight="1" x14ac:dyDescent="0.2">
      <c r="B56" s="4"/>
      <c r="C56" s="42"/>
      <c r="D56" s="445" t="str">
        <f>IF(K44&gt;0,W41,W35)</f>
        <v>Development will generate additional Nitrate (Mitigation required) - Please progress to 'mitigation - current' tab</v>
      </c>
      <c r="E56" s="445"/>
      <c r="F56" s="445"/>
      <c r="G56" s="445"/>
      <c r="H56" s="445"/>
      <c r="I56" s="445"/>
      <c r="J56" s="445"/>
      <c r="K56" s="445"/>
      <c r="L56" s="445"/>
      <c r="M56" s="445"/>
      <c r="N56" s="445"/>
      <c r="O56" s="445"/>
      <c r="P56" s="445"/>
      <c r="Q56" s="445"/>
      <c r="R56" s="445"/>
      <c r="S56" s="445"/>
      <c r="T56" s="445"/>
      <c r="U56" s="297"/>
      <c r="V56" s="20"/>
      <c r="W56" s="20"/>
      <c r="X56" s="20"/>
      <c r="Y56" s="20"/>
      <c r="Z56" s="20"/>
      <c r="AA56" s="20"/>
      <c r="AB56" s="20"/>
      <c r="AC56" s="20"/>
      <c r="AD56" s="20"/>
      <c r="AE56" s="20"/>
      <c r="AF56" s="20"/>
      <c r="AG56" s="20"/>
    </row>
    <row r="57" spans="2:33" ht="8.1" customHeight="1" x14ac:dyDescent="0.2">
      <c r="B57" s="4"/>
      <c r="C57" s="42"/>
      <c r="D57" s="281"/>
      <c r="E57" s="281"/>
      <c r="F57" s="281"/>
      <c r="G57" s="281"/>
      <c r="H57" s="281"/>
      <c r="I57" s="281"/>
      <c r="J57" s="281"/>
      <c r="K57" s="281"/>
      <c r="L57" s="281"/>
      <c r="M57" s="281"/>
      <c r="N57" s="281"/>
      <c r="O57" s="281"/>
      <c r="P57" s="281"/>
      <c r="Q57" s="281"/>
      <c r="R57" s="281"/>
      <c r="S57" s="281"/>
      <c r="T57" s="281"/>
      <c r="U57" s="297"/>
      <c r="V57" s="20"/>
      <c r="W57" s="20"/>
      <c r="X57" s="20"/>
      <c r="Y57" s="20"/>
      <c r="Z57" s="20"/>
      <c r="AA57" s="20"/>
      <c r="AB57" s="20"/>
      <c r="AC57" s="20"/>
      <c r="AD57" s="20"/>
      <c r="AE57" s="20"/>
      <c r="AF57" s="20"/>
      <c r="AG57" s="20"/>
    </row>
    <row r="58" spans="2:33" ht="17.45" customHeight="1" x14ac:dyDescent="0.2">
      <c r="B58" s="4"/>
      <c r="C58" s="42"/>
      <c r="D58" s="445" t="s">
        <v>563</v>
      </c>
      <c r="E58" s="445"/>
      <c r="F58" s="445"/>
      <c r="G58" s="445"/>
      <c r="H58" s="445"/>
      <c r="I58" s="445"/>
      <c r="J58" s="445"/>
      <c r="K58" s="445"/>
      <c r="L58" s="445"/>
      <c r="M58" s="445"/>
      <c r="N58" s="445"/>
      <c r="O58" s="445"/>
      <c r="P58" s="445"/>
      <c r="Q58" s="445"/>
      <c r="R58" s="445"/>
      <c r="S58" s="445"/>
      <c r="T58" s="445"/>
      <c r="U58" s="297"/>
      <c r="V58" s="20"/>
      <c r="W58" s="20"/>
      <c r="X58" s="20"/>
      <c r="Y58" s="20"/>
      <c r="Z58" s="20"/>
      <c r="AA58" s="20"/>
      <c r="AB58" s="20"/>
      <c r="AC58" s="20"/>
      <c r="AD58" s="20"/>
      <c r="AE58" s="20"/>
      <c r="AF58" s="20"/>
      <c r="AG58" s="20"/>
    </row>
    <row r="59" spans="2:33" ht="42.6" customHeight="1" x14ac:dyDescent="0.2">
      <c r="B59" s="4"/>
      <c r="C59" s="42"/>
      <c r="D59" s="445" t="str">
        <f>IF(O44&gt;0,W43,W35)</f>
        <v>Development will generate additional Nitrate (Mitigation required) - Please progress to 'Mitigation - post 2030' tab</v>
      </c>
      <c r="E59" s="445"/>
      <c r="F59" s="445"/>
      <c r="G59" s="445"/>
      <c r="H59" s="445"/>
      <c r="I59" s="445"/>
      <c r="J59" s="445"/>
      <c r="K59" s="445"/>
      <c r="L59" s="445"/>
      <c r="M59" s="445"/>
      <c r="N59" s="445"/>
      <c r="O59" s="445"/>
      <c r="P59" s="445"/>
      <c r="Q59" s="445"/>
      <c r="R59" s="445"/>
      <c r="S59" s="445"/>
      <c r="T59" s="445"/>
      <c r="U59" s="297"/>
      <c r="V59" s="20"/>
      <c r="W59" s="20"/>
      <c r="X59" s="20"/>
      <c r="Y59" s="20"/>
      <c r="Z59" s="20"/>
      <c r="AA59" s="20"/>
      <c r="AB59" s="20"/>
      <c r="AC59" s="20"/>
      <c r="AD59" s="20"/>
      <c r="AE59" s="20"/>
      <c r="AF59" s="20"/>
      <c r="AG59" s="20"/>
    </row>
    <row r="60" spans="2:33" ht="6" customHeight="1" thickBot="1" x14ac:dyDescent="0.3">
      <c r="B60" s="7"/>
      <c r="C60" s="51"/>
      <c r="D60" s="271"/>
      <c r="E60" s="271"/>
      <c r="F60" s="271"/>
      <c r="G60" s="271"/>
      <c r="H60" s="271"/>
      <c r="I60" s="271"/>
      <c r="J60" s="271"/>
      <c r="K60" s="271"/>
      <c r="L60" s="271"/>
      <c r="M60" s="271"/>
      <c r="N60" s="271"/>
      <c r="O60" s="271"/>
      <c r="P60" s="271"/>
      <c r="Q60" s="271"/>
      <c r="R60" s="271"/>
      <c r="S60" s="271"/>
      <c r="T60" s="271"/>
      <c r="U60" s="308"/>
      <c r="V60" s="20"/>
      <c r="W60" s="20"/>
      <c r="X60" s="20"/>
      <c r="Y60" s="20"/>
      <c r="Z60" s="20"/>
      <c r="AA60" s="20"/>
      <c r="AB60" s="20"/>
      <c r="AC60" s="20"/>
      <c r="AD60" s="20"/>
      <c r="AE60" s="20"/>
      <c r="AF60" s="20"/>
      <c r="AG60" s="20"/>
    </row>
    <row r="61" spans="2:33" ht="15" x14ac:dyDescent="0.2">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row>
  </sheetData>
  <sheetProtection algorithmName="SHA-512" hashValue="jemgnWUw9iSzDU+lr9mfr3MRhtkuuABFA8s+uBdZG8EPRRfuTDfzOwc2IcngLdKkUqmN/p6R8XLwNfVJAcMHhg==" saltValue="6zV1Zk8k5dtjiR4OELxr/A==" spinCount="100000" sheet="1" objects="1" scenarios="1" selectLockedCells="1"/>
  <dataConsolidate/>
  <mergeCells count="29">
    <mergeCell ref="D52:T52"/>
    <mergeCell ref="D53:T53"/>
    <mergeCell ref="D58:T58"/>
    <mergeCell ref="D59:T59"/>
    <mergeCell ref="D55:T55"/>
    <mergeCell ref="D56:T56"/>
    <mergeCell ref="F3:T3"/>
    <mergeCell ref="E4:T6"/>
    <mergeCell ref="F10:J10"/>
    <mergeCell ref="F12:J12"/>
    <mergeCell ref="F18:J18"/>
    <mergeCell ref="D50:T50"/>
    <mergeCell ref="D46:T46"/>
    <mergeCell ref="D49:T49"/>
    <mergeCell ref="D47:T47"/>
    <mergeCell ref="E37:T38"/>
    <mergeCell ref="F44:J44"/>
    <mergeCell ref="D48:T48"/>
    <mergeCell ref="F34:J34"/>
    <mergeCell ref="F41:J41"/>
    <mergeCell ref="F43:J43"/>
    <mergeCell ref="R8:S8"/>
    <mergeCell ref="F13:J13"/>
    <mergeCell ref="F21:J21"/>
    <mergeCell ref="F20:J20"/>
    <mergeCell ref="F25:J25"/>
    <mergeCell ref="F27:J27"/>
    <mergeCell ref="F31:J31"/>
    <mergeCell ref="F33:J33"/>
  </mergeCells>
  <phoneticPr fontId="12" type="noConversion"/>
  <conditionalFormatting sqref="D47:T48 D50:T51 D49 D52:D57 D59">
    <cfRule type="containsText" dxfId="57" priority="21" operator="containsText" text="additional">
      <formula>NOT(ISERROR(SEARCH("additional",D47)))</formula>
    </cfRule>
    <cfRule type="containsText" dxfId="56" priority="22" operator="containsText" text="neutral">
      <formula>NOT(ISERROR(SEARCH("neutral",D47)))</formula>
    </cfRule>
  </conditionalFormatting>
  <conditionalFormatting sqref="D58">
    <cfRule type="containsText" dxfId="55" priority="1" operator="containsText" text="stage">
      <formula>NOT(ISERROR(SEARCH("stage",D58)))</formula>
    </cfRule>
    <cfRule type="containsText" dxfId="54" priority="2" operator="containsText" text="neutral">
      <formula>NOT(ISERROR(SEARCH("neutral",D58)))</formula>
    </cfRule>
  </conditionalFormatting>
  <pageMargins left="0.70866141732283472" right="0.70866141732283472" top="0.74803149606299213" bottom="0.74803149606299213" header="0.31496062992125984" footer="0.31496062992125984"/>
  <pageSetup paperSize="9" scale="68" orientation="landscape" horizontalDpi="360" verticalDpi="360" r:id="rId1"/>
  <headerFooter>
    <oddHeader>&amp;LPhosphate Budget Calculator&amp;CStage 4</oddHeader>
    <oddFooter>&amp;LVersion 2.2&amp;R&amp;D</oddFooter>
  </headerFooter>
  <customProperties>
    <customPr name="SSC_SHEET_GUID" r:id="rId2"/>
  </customProperties>
  <extLst>
    <ext xmlns:x14="http://schemas.microsoft.com/office/spreadsheetml/2009/9/main" uri="{78C0D931-6437-407d-A8EE-F0AAD7539E65}">
      <x14:conditionalFormattings>
        <x14:conditionalFormatting xmlns:xm="http://schemas.microsoft.com/office/excel/2006/main">
          <x14:cfRule type="expression" priority="4" id="{6C74D4F2-C010-4572-A253-08A85E7792B7}">
            <xm:f>ISNUMBER('Stage 1'!N46)</xm:f>
            <x14:dxf>
              <fill>
                <patternFill>
                  <bgColor rgb="FFDDEBF7"/>
                </patternFill>
              </fill>
            </x14:dxf>
          </x14:cfRule>
          <xm:sqref>R13:R15</xm:sqref>
        </x14:conditionalFormatting>
        <x14:conditionalFormatting xmlns:xm="http://schemas.microsoft.com/office/excel/2006/main">
          <x14:cfRule type="expression" priority="3" id="{E5DE4842-40C3-4CE8-9B46-1EAB96431FFE}">
            <xm:f>ISNUMBER('Stage 1'!N46)</xm:f>
            <x14:dxf>
              <fill>
                <patternFill>
                  <bgColor rgb="FFDDEBF7"/>
                </patternFill>
              </fill>
            </x14:dxf>
          </x14:cfRule>
          <xm:sqref>S13:S15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DE7A3-307D-4303-9418-5F1AB5D796ED}">
  <sheetPr>
    <tabColor theme="7" tint="0.79998168889431442"/>
    <pageSetUpPr fitToPage="1"/>
  </sheetPr>
  <dimension ref="A1:BA98"/>
  <sheetViews>
    <sheetView zoomScaleNormal="100" workbookViewId="0">
      <selection activeCell="K16" sqref="K16:M16"/>
    </sheetView>
  </sheetViews>
  <sheetFormatPr defaultRowHeight="12.75" zeroHeight="1" x14ac:dyDescent="0.2"/>
  <cols>
    <col min="2" max="3" width="0.85546875" customWidth="1"/>
    <col min="4" max="4" width="2.28515625" customWidth="1"/>
    <col min="5" max="5" width="11" customWidth="1"/>
    <col min="7" max="7" width="10" customWidth="1"/>
    <col min="8" max="8" width="10.28515625" customWidth="1"/>
    <col min="9" max="9" width="14" customWidth="1"/>
    <col min="10" max="10" width="13.5703125" customWidth="1"/>
    <col min="11" max="11" width="10" customWidth="1"/>
    <col min="12" max="12" width="2.28515625" customWidth="1"/>
    <col min="13" max="13" width="10" customWidth="1"/>
    <col min="14" max="14" width="12.140625" customWidth="1"/>
    <col min="15" max="15" width="14.7109375" customWidth="1"/>
    <col min="16" max="16" width="10.5703125" customWidth="1"/>
    <col min="17" max="17" width="2.28515625" customWidth="1"/>
    <col min="18" max="18" width="10.140625" customWidth="1"/>
    <col min="19" max="19" width="11.7109375" customWidth="1"/>
    <col min="20" max="20" width="5.42578125" customWidth="1"/>
    <col min="21" max="21" width="0.85546875" customWidth="1"/>
    <col min="22" max="22" width="12.28515625" customWidth="1"/>
    <col min="24" max="24" width="25.5703125" customWidth="1"/>
    <col min="25" max="25" width="14.85546875" customWidth="1"/>
    <col min="26" max="26" width="11.85546875" customWidth="1"/>
    <col min="27" max="27" width="11.140625" hidden="1" customWidth="1"/>
    <col min="28" max="28" width="19.85546875" hidden="1" customWidth="1"/>
    <col min="29" max="29" width="2.140625" customWidth="1"/>
    <col min="34" max="34" width="8.7109375" customWidth="1"/>
  </cols>
  <sheetData>
    <row r="1" spans="1:29" ht="8.4499999999999993" customHeight="1" thickBot="1" x14ac:dyDescent="0.25">
      <c r="A1" s="78" t="s">
        <v>565</v>
      </c>
    </row>
    <row r="2" spans="1:29" ht="11.45" customHeight="1" x14ac:dyDescent="0.25">
      <c r="B2" s="43"/>
      <c r="C2" s="44"/>
      <c r="D2" s="309"/>
      <c r="E2" s="309"/>
      <c r="F2" s="309"/>
      <c r="G2" s="309"/>
      <c r="H2" s="309"/>
      <c r="I2" s="309"/>
      <c r="J2" s="309"/>
      <c r="K2" s="309"/>
      <c r="L2" s="309"/>
      <c r="M2" s="309"/>
      <c r="N2" s="309"/>
      <c r="O2" s="309"/>
      <c r="P2" s="309"/>
      <c r="Q2" s="309"/>
      <c r="R2" s="309"/>
      <c r="S2" s="309"/>
      <c r="T2" s="309"/>
      <c r="U2" s="310"/>
      <c r="V2" s="229"/>
      <c r="W2" s="229"/>
      <c r="X2" s="229"/>
      <c r="Y2" s="229"/>
      <c r="Z2" s="229"/>
      <c r="AA2" s="229"/>
      <c r="AB2" s="229"/>
      <c r="AC2" s="229"/>
    </row>
    <row r="3" spans="1:29" ht="28.5" customHeight="1" x14ac:dyDescent="0.25">
      <c r="B3" s="46"/>
      <c r="C3" s="40"/>
      <c r="D3" s="278"/>
      <c r="E3" s="197" t="s">
        <v>565</v>
      </c>
      <c r="F3" s="433" t="s">
        <v>433</v>
      </c>
      <c r="G3" s="433"/>
      <c r="H3" s="433"/>
      <c r="I3" s="433"/>
      <c r="J3" s="433"/>
      <c r="K3" s="433"/>
      <c r="L3" s="433"/>
      <c r="M3" s="433"/>
      <c r="N3" s="433"/>
      <c r="O3" s="433"/>
      <c r="P3" s="433"/>
      <c r="Q3" s="433"/>
      <c r="R3" s="433"/>
      <c r="S3" s="433"/>
      <c r="T3" s="433"/>
      <c r="U3" s="235"/>
      <c r="V3" s="229"/>
      <c r="W3" s="229"/>
      <c r="X3" s="229"/>
      <c r="Y3" s="229"/>
      <c r="Z3" s="229"/>
      <c r="AA3" s="229"/>
      <c r="AB3" s="229"/>
      <c r="AC3" s="229"/>
    </row>
    <row r="4" spans="1:29" ht="6.75" customHeight="1" x14ac:dyDescent="0.25">
      <c r="B4" s="46"/>
      <c r="C4" s="54"/>
      <c r="D4" s="279"/>
      <c r="E4" s="428" t="s">
        <v>610</v>
      </c>
      <c r="F4" s="428"/>
      <c r="G4" s="428"/>
      <c r="H4" s="428"/>
      <c r="I4" s="428"/>
      <c r="J4" s="428"/>
      <c r="K4" s="428"/>
      <c r="L4" s="428"/>
      <c r="M4" s="428"/>
      <c r="N4" s="428"/>
      <c r="O4" s="428"/>
      <c r="P4" s="428"/>
      <c r="Q4" s="428"/>
      <c r="R4" s="428"/>
      <c r="S4" s="428"/>
      <c r="T4" s="428"/>
      <c r="U4" s="235"/>
      <c r="V4" s="229"/>
      <c r="W4" s="229"/>
      <c r="X4" s="229"/>
      <c r="Y4" s="229"/>
      <c r="Z4" s="229"/>
      <c r="AA4" s="229"/>
      <c r="AB4" s="229"/>
      <c r="AC4" s="229"/>
    </row>
    <row r="5" spans="1:29" ht="6.75" customHeight="1" x14ac:dyDescent="0.25">
      <c r="B5" s="46"/>
      <c r="C5" s="54"/>
      <c r="D5" s="279"/>
      <c r="E5" s="428"/>
      <c r="F5" s="428"/>
      <c r="G5" s="428"/>
      <c r="H5" s="428"/>
      <c r="I5" s="428"/>
      <c r="J5" s="428"/>
      <c r="K5" s="428"/>
      <c r="L5" s="428"/>
      <c r="M5" s="428"/>
      <c r="N5" s="428"/>
      <c r="O5" s="428"/>
      <c r="P5" s="428"/>
      <c r="Q5" s="428"/>
      <c r="R5" s="428"/>
      <c r="S5" s="428"/>
      <c r="T5" s="428"/>
      <c r="U5" s="235"/>
      <c r="V5" s="229"/>
      <c r="W5" s="229"/>
      <c r="X5" s="229"/>
      <c r="Y5" s="229"/>
      <c r="Z5" s="229"/>
      <c r="AA5" s="229"/>
      <c r="AB5" s="229"/>
      <c r="AC5" s="229"/>
    </row>
    <row r="6" spans="1:29" ht="24.75" customHeight="1" x14ac:dyDescent="0.25">
      <c r="B6" s="46"/>
      <c r="C6" s="42"/>
      <c r="D6" s="227"/>
      <c r="E6" s="428"/>
      <c r="F6" s="428"/>
      <c r="G6" s="428"/>
      <c r="H6" s="428"/>
      <c r="I6" s="428"/>
      <c r="J6" s="428"/>
      <c r="K6" s="428"/>
      <c r="L6" s="428"/>
      <c r="M6" s="428"/>
      <c r="N6" s="428"/>
      <c r="O6" s="428"/>
      <c r="P6" s="428"/>
      <c r="Q6" s="428"/>
      <c r="R6" s="428"/>
      <c r="S6" s="428"/>
      <c r="T6" s="428"/>
      <c r="U6" s="235"/>
      <c r="V6" s="229"/>
      <c r="W6" s="229"/>
      <c r="X6" s="229"/>
      <c r="Y6" s="229"/>
      <c r="Z6" s="229"/>
      <c r="AA6" s="229"/>
      <c r="AB6" s="229"/>
      <c r="AC6" s="229"/>
    </row>
    <row r="7" spans="1:29" ht="21" customHeight="1" x14ac:dyDescent="0.25">
      <c r="B7" s="46"/>
      <c r="C7" s="42"/>
      <c r="D7" s="272"/>
      <c r="E7" s="280"/>
      <c r="F7" s="280"/>
      <c r="G7" s="280"/>
      <c r="H7" s="280"/>
      <c r="I7" s="280"/>
      <c r="J7" s="280"/>
      <c r="K7" s="280"/>
      <c r="L7" s="280"/>
      <c r="M7" s="280"/>
      <c r="N7" s="280"/>
      <c r="O7" s="280"/>
      <c r="P7" s="280"/>
      <c r="Q7" s="280"/>
      <c r="R7" s="280"/>
      <c r="S7" s="280"/>
      <c r="T7" s="280"/>
      <c r="U7" s="235"/>
      <c r="V7" s="229"/>
      <c r="W7" s="229"/>
      <c r="X7" s="229"/>
      <c r="Y7" s="229"/>
      <c r="Z7" s="229"/>
      <c r="AA7" s="229"/>
      <c r="AB7" s="229"/>
      <c r="AC7" s="229"/>
    </row>
    <row r="8" spans="1:29" ht="37.5" customHeight="1" x14ac:dyDescent="0.25">
      <c r="B8" s="46"/>
      <c r="C8" s="55"/>
      <c r="D8" s="227"/>
      <c r="E8" s="48" t="s">
        <v>5</v>
      </c>
      <c r="F8" s="374" t="s">
        <v>506</v>
      </c>
      <c r="G8" s="374"/>
      <c r="H8" s="374"/>
      <c r="I8" s="374"/>
      <c r="J8" s="374"/>
      <c r="K8" s="144" t="s">
        <v>2</v>
      </c>
      <c r="L8" s="144"/>
      <c r="M8" s="144" t="s">
        <v>3</v>
      </c>
      <c r="N8" s="226"/>
      <c r="O8" s="144"/>
      <c r="P8" s="144"/>
      <c r="Q8" s="144"/>
      <c r="R8" s="144"/>
      <c r="S8" s="144"/>
      <c r="T8" s="49"/>
      <c r="U8" s="235"/>
      <c r="V8" s="229"/>
      <c r="W8" s="229"/>
      <c r="X8" s="229"/>
      <c r="Y8" s="229"/>
      <c r="Z8" s="229"/>
      <c r="AA8" s="229"/>
      <c r="AB8" s="229"/>
      <c r="AC8" s="229"/>
    </row>
    <row r="9" spans="1:29" ht="4.5" customHeight="1" x14ac:dyDescent="0.25">
      <c r="B9" s="46"/>
      <c r="C9" s="42"/>
      <c r="D9" s="227"/>
      <c r="E9" s="49"/>
      <c r="F9" s="49"/>
      <c r="G9" s="49"/>
      <c r="H9" s="49"/>
      <c r="I9" s="49"/>
      <c r="J9" s="49"/>
      <c r="K9" s="49"/>
      <c r="L9" s="49"/>
      <c r="M9" s="49"/>
      <c r="N9" s="226"/>
      <c r="O9" s="49"/>
      <c r="P9" s="49"/>
      <c r="Q9" s="49"/>
      <c r="R9" s="49"/>
      <c r="S9" s="49"/>
      <c r="T9" s="49"/>
      <c r="U9" s="235"/>
      <c r="V9" s="229"/>
      <c r="W9" s="229"/>
      <c r="X9" s="229"/>
      <c r="Y9" s="229"/>
      <c r="Z9" s="229"/>
      <c r="AA9" s="229"/>
      <c r="AB9" s="229"/>
      <c r="AC9" s="229"/>
    </row>
    <row r="10" spans="1:29" ht="30.95" customHeight="1" x14ac:dyDescent="0.25">
      <c r="B10" s="46"/>
      <c r="C10" s="42"/>
      <c r="D10" s="227"/>
      <c r="E10" s="49"/>
      <c r="F10" s="38" t="s">
        <v>435</v>
      </c>
      <c r="G10" s="49"/>
      <c r="H10" s="49"/>
      <c r="I10" s="49"/>
      <c r="J10" s="49"/>
      <c r="K10" s="273">
        <f>IF('Stage 4'!K43&gt;0,'Stage 4'!K43,0)</f>
        <v>88.763836552768254</v>
      </c>
      <c r="L10" s="269"/>
      <c r="M10" s="246" t="s">
        <v>15</v>
      </c>
      <c r="N10" s="226"/>
      <c r="O10" s="246"/>
      <c r="P10" s="246"/>
      <c r="Q10" s="246"/>
      <c r="R10" s="246"/>
      <c r="S10" s="246"/>
      <c r="T10" s="49"/>
      <c r="U10" s="235"/>
      <c r="V10" s="229"/>
      <c r="W10" s="229"/>
      <c r="X10" s="229"/>
      <c r="Y10" s="229"/>
      <c r="Z10" s="229"/>
      <c r="AA10" s="229"/>
      <c r="AB10" s="229"/>
      <c r="AC10" s="229"/>
    </row>
    <row r="11" spans="1:29" ht="23.45" customHeight="1" x14ac:dyDescent="0.25">
      <c r="B11" s="46"/>
      <c r="C11" s="42"/>
      <c r="D11" s="227"/>
      <c r="E11" s="49"/>
      <c r="F11" s="38" t="s">
        <v>434</v>
      </c>
      <c r="G11" s="49"/>
      <c r="H11" s="49"/>
      <c r="I11" s="49"/>
      <c r="J11" s="49"/>
      <c r="K11" s="273">
        <f>IF('Stage 4'!K44&gt;0,'Stage 4'!K44,0)</f>
        <v>2502.7568366829018</v>
      </c>
      <c r="L11" s="269"/>
      <c r="M11" s="246" t="s">
        <v>15</v>
      </c>
      <c r="N11" s="226"/>
      <c r="O11" s="246"/>
      <c r="P11" s="246"/>
      <c r="Q11" s="246"/>
      <c r="R11" s="246"/>
      <c r="S11" s="246"/>
      <c r="T11" s="49"/>
      <c r="U11" s="235"/>
      <c r="V11" s="229"/>
      <c r="W11" s="229"/>
      <c r="X11" s="229"/>
      <c r="Y11" s="229"/>
      <c r="Z11" s="229"/>
      <c r="AA11" s="229"/>
      <c r="AB11" s="229"/>
      <c r="AC11" s="229"/>
    </row>
    <row r="12" spans="1:29" ht="17.45" customHeight="1" thickBot="1" x14ac:dyDescent="0.3">
      <c r="B12" s="46"/>
      <c r="C12" s="42"/>
      <c r="D12" s="227"/>
      <c r="E12" s="49"/>
      <c r="F12" s="49"/>
      <c r="G12" s="49"/>
      <c r="H12" s="49"/>
      <c r="I12" s="49"/>
      <c r="J12" s="49"/>
      <c r="K12" s="49"/>
      <c r="L12" s="49"/>
      <c r="M12" s="49"/>
      <c r="N12" s="49"/>
      <c r="O12" s="49"/>
      <c r="P12" s="49"/>
      <c r="Q12" s="49"/>
      <c r="R12" s="247"/>
      <c r="S12" s="247"/>
      <c r="T12" s="247"/>
      <c r="U12" s="235"/>
      <c r="V12" s="311"/>
      <c r="W12" s="252"/>
      <c r="X12" s="252"/>
      <c r="Y12" s="252"/>
      <c r="Z12" s="252"/>
      <c r="AA12" s="252"/>
      <c r="AB12" s="252"/>
      <c r="AC12" s="252"/>
    </row>
    <row r="13" spans="1:29" ht="6.95" customHeight="1" x14ac:dyDescent="0.25">
      <c r="B13" s="46"/>
      <c r="C13" s="42"/>
      <c r="D13" s="272"/>
      <c r="E13" s="259"/>
      <c r="F13" s="259"/>
      <c r="G13" s="259"/>
      <c r="H13" s="259"/>
      <c r="I13" s="259"/>
      <c r="J13" s="259"/>
      <c r="K13" s="259"/>
      <c r="L13" s="259"/>
      <c r="M13" s="259"/>
      <c r="N13" s="259"/>
      <c r="O13" s="259"/>
      <c r="P13" s="259"/>
      <c r="Q13" s="259"/>
      <c r="R13" s="49"/>
      <c r="S13" s="49"/>
      <c r="T13" s="49"/>
      <c r="U13" s="227"/>
      <c r="V13" s="227"/>
      <c r="W13" s="227"/>
      <c r="X13" s="227"/>
      <c r="Y13" s="227"/>
      <c r="Z13" s="227"/>
      <c r="AA13" s="227"/>
      <c r="AB13" s="227"/>
      <c r="AC13" s="312"/>
    </row>
    <row r="14" spans="1:29" ht="15.95" customHeight="1" x14ac:dyDescent="0.25">
      <c r="B14" s="46"/>
      <c r="C14" s="42"/>
      <c r="D14" s="227"/>
      <c r="E14" s="48" t="s">
        <v>8</v>
      </c>
      <c r="F14" s="374" t="s">
        <v>65</v>
      </c>
      <c r="G14" s="374"/>
      <c r="H14" s="374"/>
      <c r="I14" s="374"/>
      <c r="J14" s="374"/>
      <c r="K14" s="49"/>
      <c r="L14" s="49"/>
      <c r="M14" s="49"/>
      <c r="N14" s="49"/>
      <c r="O14" s="49"/>
      <c r="P14" s="49"/>
      <c r="Q14" s="49"/>
      <c r="R14" s="49"/>
      <c r="S14" s="49"/>
      <c r="T14" s="49"/>
      <c r="U14" s="49"/>
      <c r="V14" s="49"/>
      <c r="W14" s="49"/>
      <c r="X14" s="49"/>
      <c r="Y14" s="49"/>
      <c r="Z14" s="49"/>
      <c r="AA14" s="49"/>
      <c r="AB14" s="49"/>
      <c r="AC14" s="313"/>
    </row>
    <row r="15" spans="1:29" ht="10.5" customHeight="1" x14ac:dyDescent="0.25">
      <c r="B15" s="46"/>
      <c r="C15" s="42"/>
      <c r="D15" s="227"/>
      <c r="E15" s="49"/>
      <c r="F15" s="49"/>
      <c r="G15" s="49"/>
      <c r="H15" s="49"/>
      <c r="I15" s="49"/>
      <c r="J15" s="49"/>
      <c r="K15" s="49"/>
      <c r="L15" s="49"/>
      <c r="M15" s="49"/>
      <c r="N15" s="49"/>
      <c r="O15" s="49"/>
      <c r="P15" s="258"/>
      <c r="Q15" s="49"/>
      <c r="R15" s="49"/>
      <c r="S15" s="49"/>
      <c r="T15" s="49"/>
      <c r="U15" s="49"/>
      <c r="V15" s="49"/>
      <c r="W15" s="49"/>
      <c r="X15" s="49"/>
      <c r="Y15" s="66"/>
      <c r="Z15" s="49"/>
      <c r="AA15" s="49"/>
      <c r="AB15" s="49"/>
      <c r="AC15" s="313"/>
    </row>
    <row r="16" spans="1:29" ht="14.45" customHeight="1" x14ac:dyDescent="0.25">
      <c r="B16" s="46"/>
      <c r="C16" s="42"/>
      <c r="D16" s="227"/>
      <c r="E16" s="66" t="s">
        <v>58</v>
      </c>
      <c r="F16" s="49" t="s">
        <v>82</v>
      </c>
      <c r="G16" s="49"/>
      <c r="H16" s="49"/>
      <c r="I16" s="49"/>
      <c r="J16" s="49"/>
      <c r="K16" s="450" t="s">
        <v>62</v>
      </c>
      <c r="L16" s="450"/>
      <c r="M16" s="450"/>
      <c r="N16" s="66"/>
      <c r="O16" s="49"/>
      <c r="P16" s="258"/>
      <c r="Q16" s="49"/>
      <c r="R16" s="67" t="s">
        <v>59</v>
      </c>
      <c r="S16" s="67"/>
      <c r="T16" s="374" t="s">
        <v>83</v>
      </c>
      <c r="U16" s="374"/>
      <c r="V16" s="374"/>
      <c r="W16" s="374"/>
      <c r="X16" s="374"/>
      <c r="Y16" s="238" t="s">
        <v>62</v>
      </c>
      <c r="Z16" s="49"/>
      <c r="AA16" s="49"/>
      <c r="AB16" s="49"/>
      <c r="AC16" s="313"/>
    </row>
    <row r="17" spans="2:53" ht="14.45" customHeight="1" x14ac:dyDescent="0.25">
      <c r="B17" s="46"/>
      <c r="C17" s="42"/>
      <c r="D17" s="227"/>
      <c r="E17" s="49"/>
      <c r="F17" s="49"/>
      <c r="G17" s="49"/>
      <c r="H17" s="49"/>
      <c r="I17" s="49"/>
      <c r="J17" s="49"/>
      <c r="K17" s="49"/>
      <c r="L17" s="49"/>
      <c r="M17" s="49"/>
      <c r="N17" s="49"/>
      <c r="O17" s="49"/>
      <c r="P17" s="258"/>
      <c r="Q17" s="49"/>
      <c r="R17" s="49"/>
      <c r="S17" s="49"/>
      <c r="T17" s="49"/>
      <c r="U17" s="49"/>
      <c r="V17" s="49"/>
      <c r="W17" s="49"/>
      <c r="X17" s="49"/>
      <c r="Y17" s="49"/>
      <c r="Z17" s="49"/>
      <c r="AA17" s="49"/>
      <c r="AB17" s="49"/>
      <c r="AC17" s="313"/>
    </row>
    <row r="18" spans="2:53" ht="45" customHeight="1" x14ac:dyDescent="0.25">
      <c r="B18" s="46"/>
      <c r="C18" s="42"/>
      <c r="D18" s="227"/>
      <c r="E18" s="449" t="s">
        <v>91</v>
      </c>
      <c r="F18" s="449"/>
      <c r="G18" s="449"/>
      <c r="H18" s="449"/>
      <c r="I18" s="449"/>
      <c r="J18" s="449"/>
      <c r="K18" s="449"/>
      <c r="L18" s="449"/>
      <c r="M18" s="449"/>
      <c r="N18" s="449"/>
      <c r="O18" s="449"/>
      <c r="P18" s="258"/>
      <c r="Q18" s="49"/>
      <c r="R18" s="49"/>
      <c r="S18" s="49"/>
      <c r="T18" s="449" t="s">
        <v>88</v>
      </c>
      <c r="U18" s="449"/>
      <c r="V18" s="449"/>
      <c r="W18" s="449"/>
      <c r="X18" s="449"/>
      <c r="Y18" s="449"/>
      <c r="Z18" s="449"/>
      <c r="AA18" s="314"/>
      <c r="AB18" s="314"/>
      <c r="AC18" s="313"/>
    </row>
    <row r="19" spans="2:53" ht="14.45" customHeight="1" x14ac:dyDescent="0.25">
      <c r="B19" s="46"/>
      <c r="C19" s="42"/>
      <c r="D19" s="227"/>
      <c r="E19" s="49"/>
      <c r="F19" s="49"/>
      <c r="G19" s="49"/>
      <c r="H19" s="49"/>
      <c r="I19" s="49"/>
      <c r="J19" s="49"/>
      <c r="K19" s="49"/>
      <c r="L19" s="49"/>
      <c r="M19" s="49"/>
      <c r="N19" s="49"/>
      <c r="O19" s="49"/>
      <c r="P19" s="258"/>
      <c r="Q19" s="49"/>
      <c r="R19" s="49"/>
      <c r="S19" s="49"/>
      <c r="T19" s="374" t="s">
        <v>87</v>
      </c>
      <c r="U19" s="374"/>
      <c r="V19" s="374"/>
      <c r="W19" s="374"/>
      <c r="X19" s="374"/>
      <c r="Y19" s="374"/>
      <c r="Z19" s="374"/>
      <c r="AA19" s="49"/>
      <c r="AB19" s="49"/>
      <c r="AC19" s="313"/>
    </row>
    <row r="20" spans="2:53" ht="15.95" customHeight="1" x14ac:dyDescent="0.25">
      <c r="B20" s="46"/>
      <c r="C20" s="42"/>
      <c r="D20" s="227"/>
      <c r="E20" s="66"/>
      <c r="F20" s="374" t="s">
        <v>137</v>
      </c>
      <c r="G20" s="374"/>
      <c r="H20" s="374"/>
      <c r="I20" s="374"/>
      <c r="J20" s="374"/>
      <c r="K20" s="144" t="s">
        <v>2</v>
      </c>
      <c r="L20" s="144"/>
      <c r="M20" s="144"/>
      <c r="N20" s="66"/>
      <c r="O20" s="144" t="s">
        <v>3</v>
      </c>
      <c r="P20" s="258"/>
      <c r="Q20" s="49"/>
      <c r="R20" s="49"/>
      <c r="S20" s="49"/>
      <c r="T20" s="226"/>
      <c r="U20" s="226"/>
      <c r="V20" s="226"/>
      <c r="W20" s="226"/>
      <c r="X20" s="226"/>
      <c r="Y20" s="226"/>
      <c r="Z20" s="226"/>
      <c r="AA20" s="142"/>
      <c r="AB20" s="142"/>
      <c r="AC20" s="313"/>
    </row>
    <row r="21" spans="2:53" ht="13.5" customHeight="1" x14ac:dyDescent="0.25">
      <c r="B21" s="46"/>
      <c r="C21" s="42"/>
      <c r="D21" s="227"/>
      <c r="E21" s="49"/>
      <c r="F21" s="49"/>
      <c r="G21" s="49"/>
      <c r="H21" s="49"/>
      <c r="I21" s="49"/>
      <c r="J21" s="49"/>
      <c r="K21" s="144" t="s">
        <v>436</v>
      </c>
      <c r="L21" s="144"/>
      <c r="M21" s="144" t="s">
        <v>437</v>
      </c>
      <c r="N21" s="49"/>
      <c r="O21" s="49"/>
      <c r="P21" s="258"/>
      <c r="Q21" s="49"/>
      <c r="R21" s="49"/>
      <c r="S21" s="49"/>
      <c r="T21" s="374" t="s">
        <v>380</v>
      </c>
      <c r="U21" s="374"/>
      <c r="V21" s="374"/>
      <c r="W21" s="374"/>
      <c r="X21" s="374"/>
      <c r="Y21" s="238" t="s">
        <v>385</v>
      </c>
      <c r="Z21" s="49"/>
      <c r="AA21" s="49"/>
      <c r="AB21" s="49"/>
      <c r="AC21" s="313"/>
    </row>
    <row r="22" spans="2:53" ht="54.6" customHeight="1" x14ac:dyDescent="0.25">
      <c r="B22" s="46"/>
      <c r="C22" s="42"/>
      <c r="D22" s="227"/>
      <c r="E22" s="49"/>
      <c r="F22" s="382" t="s">
        <v>85</v>
      </c>
      <c r="G22" s="382"/>
      <c r="H22" s="382"/>
      <c r="I22" s="382"/>
      <c r="J22" s="382"/>
      <c r="K22" s="273">
        <f>'Stage 2'!K46/'Stage 2'!K41</f>
        <v>1.0317036962029649</v>
      </c>
      <c r="L22" s="269"/>
      <c r="M22" s="273">
        <f>'Stage 2'!K48/'Stage 2'!K41</f>
        <v>6.5630843338283551</v>
      </c>
      <c r="N22" s="238" t="s">
        <v>62</v>
      </c>
      <c r="O22" s="246" t="s">
        <v>81</v>
      </c>
      <c r="P22" s="258"/>
      <c r="Q22" s="49"/>
      <c r="R22" s="48"/>
      <c r="S22" s="48"/>
      <c r="T22" s="374" t="s">
        <v>379</v>
      </c>
      <c r="U22" s="374"/>
      <c r="V22" s="374"/>
      <c r="W22" s="374"/>
      <c r="X22" s="374"/>
      <c r="Y22" s="257" t="s">
        <v>384</v>
      </c>
      <c r="Z22" s="49"/>
      <c r="AA22" s="142"/>
      <c r="AB22" s="142"/>
      <c r="AC22" s="313"/>
    </row>
    <row r="23" spans="2:53" ht="15.95" customHeight="1" x14ac:dyDescent="0.25">
      <c r="B23" s="46"/>
      <c r="C23" s="42"/>
      <c r="D23" s="227"/>
      <c r="E23" s="49"/>
      <c r="F23" s="146"/>
      <c r="G23" s="146"/>
      <c r="H23" s="146"/>
      <c r="I23" s="146"/>
      <c r="J23" s="146"/>
      <c r="K23" s="269"/>
      <c r="L23" s="269"/>
      <c r="M23" s="269"/>
      <c r="N23" s="239"/>
      <c r="O23" s="246"/>
      <c r="P23" s="258"/>
      <c r="Q23" s="49"/>
      <c r="R23" s="48"/>
      <c r="S23" s="48"/>
      <c r="T23" s="374" t="s">
        <v>383</v>
      </c>
      <c r="U23" s="374"/>
      <c r="V23" s="374"/>
      <c r="W23" s="374"/>
      <c r="X23" s="374"/>
      <c r="Y23" s="238" t="s">
        <v>476</v>
      </c>
      <c r="Z23" s="142"/>
      <c r="AA23" s="142"/>
      <c r="AB23" s="142"/>
      <c r="AC23" s="313"/>
    </row>
    <row r="24" spans="2:53" ht="15.95" customHeight="1" x14ac:dyDescent="0.25">
      <c r="B24" s="46"/>
      <c r="C24" s="42"/>
      <c r="D24" s="227"/>
      <c r="E24" s="49"/>
      <c r="F24" s="146"/>
      <c r="G24" s="146"/>
      <c r="H24" s="146"/>
      <c r="I24" s="146"/>
      <c r="J24" s="146"/>
      <c r="K24" s="269"/>
      <c r="L24" s="269"/>
      <c r="M24" s="269"/>
      <c r="N24" s="239"/>
      <c r="O24" s="246"/>
      <c r="P24" s="258"/>
      <c r="Q24" s="49"/>
      <c r="R24" s="48"/>
      <c r="S24" s="48"/>
      <c r="T24" s="374" t="s">
        <v>381</v>
      </c>
      <c r="U24" s="374"/>
      <c r="V24" s="374"/>
      <c r="W24" s="374"/>
      <c r="X24" s="374"/>
      <c r="Y24" s="238" t="s">
        <v>13</v>
      </c>
      <c r="Z24" s="142"/>
      <c r="AA24" s="142"/>
      <c r="AB24" s="142"/>
      <c r="AC24" s="313"/>
    </row>
    <row r="25" spans="2:53" ht="20.100000000000001" customHeight="1" x14ac:dyDescent="0.25">
      <c r="B25" s="46"/>
      <c r="C25" s="42"/>
      <c r="D25" s="227"/>
      <c r="E25" s="49"/>
      <c r="F25" s="38"/>
      <c r="G25" s="49"/>
      <c r="H25" s="49"/>
      <c r="I25" s="49"/>
      <c r="J25" s="49"/>
      <c r="K25" s="269"/>
      <c r="L25" s="269"/>
      <c r="M25" s="269"/>
      <c r="N25" s="144"/>
      <c r="O25" s="246"/>
      <c r="P25" s="258"/>
      <c r="Q25" s="49"/>
      <c r="R25" s="451"/>
      <c r="S25" s="451"/>
      <c r="T25" s="451"/>
      <c r="U25" s="451"/>
      <c r="V25" s="451"/>
      <c r="W25" s="451"/>
      <c r="X25" s="451"/>
      <c r="Y25" s="451"/>
      <c r="Z25" s="451"/>
      <c r="AA25" s="451"/>
      <c r="AB25" s="451"/>
      <c r="AC25" s="452"/>
    </row>
    <row r="26" spans="2:53" ht="24" customHeight="1" x14ac:dyDescent="0.25">
      <c r="B26" s="46"/>
      <c r="C26" s="42"/>
      <c r="D26" s="227"/>
      <c r="E26" s="49"/>
      <c r="F26" s="382" t="s">
        <v>84</v>
      </c>
      <c r="G26" s="382"/>
      <c r="H26" s="382"/>
      <c r="I26" s="382"/>
      <c r="J26" s="382"/>
      <c r="K26" s="144" t="s">
        <v>436</v>
      </c>
      <c r="L26" s="144"/>
      <c r="M26" s="144" t="s">
        <v>437</v>
      </c>
      <c r="N26" s="49"/>
      <c r="O26" s="246"/>
      <c r="P26" s="258"/>
      <c r="Q26" s="49"/>
      <c r="R26" s="49"/>
      <c r="S26" s="49"/>
      <c r="T26" s="382" t="s">
        <v>86</v>
      </c>
      <c r="U26" s="382"/>
      <c r="V26" s="382"/>
      <c r="W26" s="382"/>
      <c r="X26" s="382"/>
      <c r="Y26" s="49"/>
      <c r="Z26" s="49"/>
      <c r="AA26" s="281" t="s">
        <v>396</v>
      </c>
      <c r="AB26" s="281" t="s">
        <v>397</v>
      </c>
      <c r="AC26" s="313"/>
      <c r="AP26" s="114"/>
    </row>
    <row r="27" spans="2:53" ht="15.95" customHeight="1" x14ac:dyDescent="0.25">
      <c r="B27" s="46"/>
      <c r="C27" s="42"/>
      <c r="D27" s="227"/>
      <c r="E27" s="432" t="str">
        <f>'Stage 2'!F22</f>
        <v>High density residential</v>
      </c>
      <c r="F27" s="432"/>
      <c r="G27" s="432"/>
      <c r="H27" s="432"/>
      <c r="I27" s="432"/>
      <c r="J27" s="49"/>
      <c r="K27" s="315" t="str">
        <f>IF('Stage 2'!$K22&gt;0,'Stage 2'!O22/'Stage 2'!$K22,"")</f>
        <v/>
      </c>
      <c r="L27" s="269"/>
      <c r="M27" s="273" t="str">
        <f>IF('Stage 2'!$K22&gt;0,'Stage 2'!Q22/'Stage 2'!$K22,"")</f>
        <v/>
      </c>
      <c r="N27" s="238" t="s">
        <v>62</v>
      </c>
      <c r="O27" s="240" t="s">
        <v>81</v>
      </c>
      <c r="P27" s="258"/>
      <c r="Q27" s="49"/>
      <c r="R27" s="49"/>
      <c r="S27" s="49"/>
      <c r="T27" s="432" t="str">
        <f t="shared" ref="T27:T44" si="0">E27</f>
        <v>High density residential</v>
      </c>
      <c r="U27" s="432"/>
      <c r="V27" s="432"/>
      <c r="W27" s="432"/>
      <c r="X27" s="432"/>
      <c r="Y27" s="238" t="s">
        <v>62</v>
      </c>
      <c r="Z27" s="49"/>
      <c r="AA27" s="283" t="str">
        <f>IF($Y$16="Yes",IF($Y$27="Yes",IF($Y$23="550-575",'Data Tables'!AC39,IF($Y$23="575-600",'Data Tables'!AC40,IF($Y$23="600-625",'Data Tables'!AC41,IF($Y$23="625-650",'Data Tables'!AC42,IF($Y$23="650-675",'Data Tables'!AC43,IF($Y$23="675-700",'Data Tables'!AC44,IF($Y$23="700-750",'Data Tables'!AC45,IF($Y$23="750-800",'Data Tables'!AC46,IF($Y$23="800-850",'Data Tables'!AC47,'Data Tables'!AC48))))))))),0),"")</f>
        <v/>
      </c>
      <c r="AB27" s="283" t="str">
        <f>IF($Y$16="Yes",IF($Y$27="Yes",IF($Y$23="550-575",'Data Tables'!AD39,IF($Y$23="575-600",'Data Tables'!AD40,IF($Y$23="600-625",'Data Tables'!AD41,IF($Y$23="625-650",'Data Tables'!AD42,IF($Y$23="650-675",'Data Tables'!AD43,IF($Y$23="675-700",'Data Tables'!AD44,IF($Y$23="700-750",'Data Tables'!AD45,IF($Y$23="750-800",'Data Tables'!AD46,IF($Y$23="800-850",'Data Tables'!AD47,'Data Tables'!AD48))))))))),0),"")</f>
        <v/>
      </c>
      <c r="AC27" s="313"/>
      <c r="AO27" s="114"/>
      <c r="AQ27" s="114"/>
    </row>
    <row r="28" spans="2:53" ht="15.95" customHeight="1" x14ac:dyDescent="0.25">
      <c r="B28" s="46"/>
      <c r="C28" s="42"/>
      <c r="D28" s="227"/>
      <c r="E28" s="432" t="str">
        <f>'Stage 2'!F23</f>
        <v>Medium density residential</v>
      </c>
      <c r="F28" s="432"/>
      <c r="G28" s="432"/>
      <c r="H28" s="432"/>
      <c r="I28" s="432"/>
      <c r="J28" s="49"/>
      <c r="K28" s="315" t="str">
        <f>IF('Stage 2'!$K23&gt;0,'Stage 2'!O23/'Stage 2'!$K23,"")</f>
        <v/>
      </c>
      <c r="L28" s="269"/>
      <c r="M28" s="273" t="str">
        <f>IF('Stage 2'!$K23&gt;0,'Stage 2'!Q23/'Stage 2'!$K23,"")</f>
        <v/>
      </c>
      <c r="N28" s="238" t="s">
        <v>62</v>
      </c>
      <c r="O28" s="240" t="s">
        <v>81</v>
      </c>
      <c r="P28" s="258"/>
      <c r="Q28" s="49"/>
      <c r="R28" s="49"/>
      <c r="S28" s="49"/>
      <c r="T28" s="432" t="str">
        <f t="shared" si="0"/>
        <v>Medium density residential</v>
      </c>
      <c r="U28" s="432"/>
      <c r="V28" s="432"/>
      <c r="W28" s="432"/>
      <c r="X28" s="432"/>
      <c r="Y28" s="238" t="s">
        <v>62</v>
      </c>
      <c r="Z28" s="49"/>
      <c r="AA28" s="283" t="str">
        <f>IF($Y$16="Yes",IF($Y$28="Yes",IF($Y$23="550-575",'Data Tables'!AE39,IF($Y$23="575-600",'Data Tables'!AE40,IF($Y$23="600-625",'Data Tables'!AE41,IF($Y$23="625-650",'Data Tables'!AE42,IF($Y$23="650-675",'Data Tables'!AE43,IF($Y$23="675-700",'Data Tables'!AE44,IF($Y$23="700-750",'Data Tables'!AE45,IF($Y$23="750-800",'Data Tables'!AE46,IF($Y$23="800-850",'Data Tables'!AE47,'Data Tables'!AE48))))))))),0),"")</f>
        <v/>
      </c>
      <c r="AB28" s="283" t="str">
        <f>IF($Y$16="Yes",IF($Y$28="Yes",IF($Y$23="550-575",'Data Tables'!AF39,IF($Y$23="575-600",'Data Tables'!AF40,IF($Y$23="600-625",'Data Tables'!AF41,IF($Y$23="625-650",'Data Tables'!AF42,IF($Y$23="650-675",'Data Tables'!AF43,IF($Y$23="675-700",'Data Tables'!AF44,IF($Y$23="700-750",'Data Tables'!AF45,IF($Y$23="750-800",'Data Tables'!AF46,IF($Y$23="800-850",'Data Tables'!AF47,'Data Tables'!AF48))))))))),0),"")</f>
        <v/>
      </c>
      <c r="AC28" s="313"/>
    </row>
    <row r="29" spans="2:53" ht="15.95" customHeight="1" x14ac:dyDescent="0.25">
      <c r="B29" s="46"/>
      <c r="C29" s="42"/>
      <c r="D29" s="227"/>
      <c r="E29" s="432" t="str">
        <f>'Stage 2'!F24</f>
        <v>Low density residential</v>
      </c>
      <c r="F29" s="432"/>
      <c r="G29" s="432"/>
      <c r="H29" s="432"/>
      <c r="I29" s="432"/>
      <c r="J29" s="49"/>
      <c r="K29" s="315" t="str">
        <f>IF('Stage 2'!$K24&gt;0,'Stage 2'!O24/'Stage 2'!$K24,"")</f>
        <v/>
      </c>
      <c r="L29" s="269"/>
      <c r="M29" s="273" t="str">
        <f>IF('Stage 2'!$K24&gt;0,'Stage 2'!Q24/'Stage 2'!$K24,"")</f>
        <v/>
      </c>
      <c r="N29" s="238" t="s">
        <v>62</v>
      </c>
      <c r="O29" s="240" t="s">
        <v>81</v>
      </c>
      <c r="P29" s="258"/>
      <c r="Q29" s="49"/>
      <c r="R29" s="49"/>
      <c r="S29" s="49"/>
      <c r="T29" s="432" t="str">
        <f t="shared" si="0"/>
        <v>Low density residential</v>
      </c>
      <c r="U29" s="432"/>
      <c r="V29" s="432"/>
      <c r="W29" s="432"/>
      <c r="X29" s="432"/>
      <c r="Y29" s="238" t="s">
        <v>62</v>
      </c>
      <c r="Z29" s="49"/>
      <c r="AA29" s="283" t="str">
        <f>IF($Y$16="Yes",IF($Y$29="Yes",IF($Y$23="550-575",'Data Tables'!AG39,IF($Y$23="575-600",'Data Tables'!AG40,IF($Y$23="600-625",'Data Tables'!AG41,IF($Y$23="625-650",'Data Tables'!AG42,IF($Y$23="650-675",'Data Tables'!AG43,IF($Y$23="675-700",'Data Tables'!AG44,IF($Y$23="700-750",'Data Tables'!AG45,IF($Y$23="750-800",'Data Tables'!AG46,IF($Y$23="800-850",'Data Tables'!AG47,'Data Tables'!AG48))))))))),0),"")</f>
        <v/>
      </c>
      <c r="AB29" s="283" t="str">
        <f>IF($Y$16="Yes",IF($Y$29="Yes",IF($Y$23="550-575",'Data Tables'!AH39,IF($Y$23="575-600",'Data Tables'!AH40,IF($Y$23="600-625",'Data Tables'!AH41,IF($Y$23="625-650",'Data Tables'!AH42,IF($Y$23="650-675",'Data Tables'!AH43,IF($Y$23="675-700",'Data Tables'!AH44,IF($Y$23="700-750",'Data Tables'!AH45,IF($Y$23="750-800",'Data Tables'!AH46,IF($Y$23="800-850",'Data Tables'!AH47,'Data Tables'!AH48))))))))),0),"")</f>
        <v/>
      </c>
      <c r="AC29" s="313"/>
    </row>
    <row r="30" spans="2:53" ht="15.95" customHeight="1" x14ac:dyDescent="0.25">
      <c r="B30" s="46"/>
      <c r="C30" s="42"/>
      <c r="D30" s="227"/>
      <c r="E30" s="432" t="str">
        <f>'Stage 2'!F25</f>
        <v>Commercial / Industrial</v>
      </c>
      <c r="F30" s="432"/>
      <c r="G30" s="432"/>
      <c r="H30" s="432"/>
      <c r="I30" s="432"/>
      <c r="J30" s="49"/>
      <c r="K30" s="315">
        <f>IF('Stage 2'!$K25&gt;0,'Stage 2'!O25/'Stage 2'!$K25,"")</f>
        <v>1.0317036962029649</v>
      </c>
      <c r="L30" s="269"/>
      <c r="M30" s="273">
        <f>IF('Stage 2'!$K25&gt;0,'Stage 2'!Q25/'Stage 2'!$K25,"")</f>
        <v>6.5630843338283551</v>
      </c>
      <c r="N30" s="238" t="s">
        <v>62</v>
      </c>
      <c r="O30" s="240" t="s">
        <v>81</v>
      </c>
      <c r="P30" s="258"/>
      <c r="Q30" s="49"/>
      <c r="R30" s="49"/>
      <c r="S30" s="49"/>
      <c r="T30" s="432" t="str">
        <f t="shared" si="0"/>
        <v>Commercial / Industrial</v>
      </c>
      <c r="U30" s="432"/>
      <c r="V30" s="432"/>
      <c r="W30" s="432"/>
      <c r="X30" s="432"/>
      <c r="Y30" s="238" t="s">
        <v>62</v>
      </c>
      <c r="Z30" s="49"/>
      <c r="AA30" s="283" t="str">
        <f>IF($Y$16="Yes",IF($Y$30="Yes",IF($Y$23="550-575",'Data Tables'!AI39,IF($Y$23="575-600",'Data Tables'!AI40,IF($Y$23="600-625",'Data Tables'!AI41,IF($Y$23="625-650",'Data Tables'!AI42,IF($Y$23="650-675",'Data Tables'!AI43,IF($Y$23="675-700",'Data Tables'!AI44,IF($Y$23="700-750",'Data Tables'!AI45,IF($Y$23="750-800",'Data Tables'!AI46,IF($Y$23="800-850",'Data Tables'!AI47,'Data Tables'!AI48))))))))),0),"")</f>
        <v/>
      </c>
      <c r="AB30" s="283" t="str">
        <f>IF($Y$16="Yes",IF($Y$30="Yes",IF($Y$23="550-575",'Data Tables'!AJ39,IF($Y$23="575-600",'Data Tables'!AJ40,IF($Y$23="600-625",'Data Tables'!AJ41,IF($Y$23="625-650",'Data Tables'!AJ42,IF($Y$23="650-675",'Data Tables'!AJ43,IF($Y$23="675-700",'Data Tables'!AJ44,IF($Y$23="700-750",'Data Tables'!AJ45,IF($Y$23="750-800",'Data Tables'!AJ46,IF($Y$23="800-850",'Data Tables'!AJ47,'Data Tables'!AJ48))))))))),0),"")</f>
        <v/>
      </c>
      <c r="AC30" s="313"/>
    </row>
    <row r="31" spans="2:53" ht="15.95" customHeight="1" x14ac:dyDescent="0.25">
      <c r="B31" s="46"/>
      <c r="C31" s="42"/>
      <c r="D31" s="227"/>
      <c r="E31" s="432" t="str">
        <f>'Stage 2'!F26</f>
        <v>Urban open space</v>
      </c>
      <c r="F31" s="432"/>
      <c r="G31" s="432"/>
      <c r="H31" s="432"/>
      <c r="I31" s="432"/>
      <c r="J31" s="49"/>
      <c r="K31" s="315" t="str">
        <f>IF('Stage 2'!$K26&gt;0,'Stage 2'!O26/'Stage 2'!$K26,"")</f>
        <v/>
      </c>
      <c r="L31" s="269"/>
      <c r="M31" s="273" t="str">
        <f>IF('Stage 2'!$K26&gt;0,'Stage 2'!Q26/'Stage 2'!$K26,"")</f>
        <v/>
      </c>
      <c r="N31" s="238" t="s">
        <v>62</v>
      </c>
      <c r="O31" s="240" t="s">
        <v>81</v>
      </c>
      <c r="P31" s="258"/>
      <c r="Q31" s="49"/>
      <c r="R31" s="49"/>
      <c r="S31" s="49"/>
      <c r="T31" s="432" t="str">
        <f t="shared" si="0"/>
        <v>Urban open space</v>
      </c>
      <c r="U31" s="432"/>
      <c r="V31" s="432"/>
      <c r="W31" s="432"/>
      <c r="X31" s="432"/>
      <c r="Y31" s="238" t="s">
        <v>62</v>
      </c>
      <c r="Z31" s="49"/>
      <c r="AA31" s="283" t="str">
        <f>IF($Y$16="Yes",IF($Y$31="Yes",IF($Y$23="550-575",'Data Tables'!AK39,IF($Y$23="575-600",'Data Tables'!AK40,IF($Y$23="600-625",'Data Tables'!AK41,IF($Y$23="625-650",'Data Tables'!AK42,IF($Y$23="650-675",'Data Tables'!AK43,IF($Y$23="675-700",'Data Tables'!AK44,IF($Y$23="700-750",'Data Tables'!AK45,IF($Y$23="750-800",'Data Tables'!AK46,IF($Y$23="800-850",'Data Tables'!AK47,'Data Tables'!AK48))))))))),0),"")</f>
        <v/>
      </c>
      <c r="AB31" s="283" t="str">
        <f>IF($Y$16="Yes",IF($Y$31="Yes",IF($Y$23="550-575",'Data Tables'!AL39,IF($Y$23="575-600",'Data Tables'!AL40,IF($Y$23="600-625",'Data Tables'!AL41,IF($Y$23="625-650",'Data Tables'!AL42,IF($Y$23="650-675",'Data Tables'!AL43,IF($Y$23="675-700",'Data Tables'!AL44,IF($Y$23="700-750",'Data Tables'!AL45,IF($Y$23="750-800",'Data Tables'!AL46,IF($Y$23="800-850",'Data Tables'!AL47,'Data Tables'!AL48))))))))),0),"")</f>
        <v/>
      </c>
      <c r="AC31" s="313"/>
    </row>
    <row r="32" spans="2:53" ht="15.95" customHeight="1" x14ac:dyDescent="0.25">
      <c r="B32" s="46"/>
      <c r="C32" s="42"/>
      <c r="D32" s="227"/>
      <c r="E32" s="432" t="str">
        <f>'Stage 2'!F27</f>
        <v>Dairy</v>
      </c>
      <c r="F32" s="432"/>
      <c r="G32" s="432"/>
      <c r="H32" s="432"/>
      <c r="I32" s="432"/>
      <c r="J32" s="49"/>
      <c r="K32" s="315" t="str">
        <f>IF('Stage 2'!$K27&gt;0,'Stage 2'!O27/'Stage 2'!$K27,"")</f>
        <v/>
      </c>
      <c r="L32" s="281"/>
      <c r="M32" s="273" t="str">
        <f>IF('Stage 2'!$K27&gt;0,'Stage 2'!Q27/'Stage 2'!$K27,"")</f>
        <v/>
      </c>
      <c r="N32" s="238" t="s">
        <v>62</v>
      </c>
      <c r="O32" s="240" t="s">
        <v>81</v>
      </c>
      <c r="P32" s="258"/>
      <c r="Q32" s="49"/>
      <c r="R32" s="49"/>
      <c r="S32" s="49"/>
      <c r="T32" s="432" t="str">
        <f t="shared" si="0"/>
        <v>Dairy</v>
      </c>
      <c r="U32" s="432"/>
      <c r="V32" s="432"/>
      <c r="W32" s="432"/>
      <c r="X32" s="432"/>
      <c r="Y32" s="238" t="s">
        <v>62</v>
      </c>
      <c r="Z32" s="49"/>
      <c r="AA32" s="285" t="str">
        <f>IF($Y$16="Yes",IF($Y32="Yes",IF($Y$21="Wensum",(IF($Y$22="Freely draining",IF($Y$23="550-575",IF($Y$24="Yes",'Data Tables'!Y5,'Data Tables'!Z5),IF($Y$23="575-600",IF($Y$24="Yes",'Data Tables'!Y5,'Data Tables'!Z5),IF($Y$23="600-625",IF($Y$24="Yes",'Data Tables'!Y5,'Data Tables'!Z5),IF($Y$23="625-650",IF($Y$24="Yes",'Data Tables'!Y5,'Data Tables'!Z5),IF($Y$23="650-675",IF($Y$24="Yes",'Data Tables'!Y5,'Data Tables'!Z5),IF($Y$23="675-700",IF($Y$24="Yes",'Data Tables'!Y5,'Data Tables'!Z5),IF($Y$23="700-750",IF($Y$24="Yes",'Data Tables'!AE5,'Data Tables'!AF5),IF($Y$23="750-800",IF($Y$24="Yes",'Data Tables'!AE5,'Data Tables'!AF5),IF($Y$23="800-850",IF($Y$24="Yes",'Data Tables'!AE5,'Data Tables'!AF5),IF($Y$24="Yes",'Data Tables'!AE5,'Data Tables'!AF5)))))))))),IF($Y$22="Impermeable - drained for arable",IF($Y$23="550-575",IF($Y$24="Yes",'Data Tables'!AA5,'Data Tables'!AB5),IF($Y$23="575-600",IF($Y$24="Yes",'Data Tables'!AA5,'Data Tables'!AB5),IF($Y$23="600-625",IF($Y$24="Yes",'Data Tables'!AA5,'Data Tables'!AB5),IF($Y$23="625-650",IF($Y$24="Yes",'Data Tables'!AA5,'Data Tables'!AB5),IF($Y$23="650-675",IF($Y$24="Yes",'Data Tables'!AA5,'Data Tables'!AB5),IF($Y$23="675-700",IF($Y$24="Yes",'Data Tables'!AA5,'Data Tables'!AB5),IF($Y$23="700-750",IF($Y$24="Yes",'Data Tables'!AG5,'Data Tables'!AH5),IF($Y$23="750-800",IF($Y$24="Yes",'Data Tables'!AG5,'Data Tables'!AH5),IF($Y$23="800-850",IF($Y$24="Yes",'Data Tables'!AG5,'Data Tables'!AH5),IF($Y$24="Yes",'Data Tables'!AG5,'Data Tables'!AH5)))))))))),IF($Y$23="550-575",IF($Y$24="Yes",'Data Tables'!AC5,'Data Tables'!AD5),IF($Y$23="575-600",IF($Y$24="Yes",'Data Tables'!AC5,'Data Tables'!AD5),IF($Y$23="600-625",IF($Y$24="Yes",'Data Tables'!AC5,'Data Tables'!AD5),IF($Y$23="625-650",IF($Y$24="Yes",'Data Tables'!AC5,'Data Tables'!AD5),IF($Y$23="650-675",IF($Y$24="Yes",'Data Tables'!AC5,'Data Tables'!AD5),IF($Y$23="675-700",IF($Y$24="Yes",'Data Tables'!AC5,'Data Tables'!AD5),IF($Y$23="700-750",IF($Y$24="Yes",'Data Tables'!AI5,'Data Tables'!AJ5),IF($Y$23="750-800",IF($Y$24="Yes",'Data Tables'!AI5,'Data Tables'!AJ5),IF($Y$23="800-850",IF($Y$24="Yes",'Data Tables'!AI5,'Data Tables'!AJ5),IF($Y$24="Yes",'Data Tables'!AI5,'Data Tables'!AJ5))))))))))))),IF($Y$21="Yare",(IF($Y$22="Freely draining",IF($Y$23="550-575",IF($Y$24="Yes",'Data Tables'!Y16,'Data Tables'!Z16),IF($Y$23="575-600",IF($Y$24="Yes",'Data Tables'!Y16,'Data Tables'!Z16),IF($Y$23="600-625",IF($Y$24="Yes",'Data Tables'!Y16,'Data Tables'!Z16),IF($Y$23="625-650",IF($Y$24="Yes",'Data Tables'!Y16,'Data Tables'!Z16),IF($Y$23="650-675",IF($Y$24="Yes",'Data Tables'!Y16,'Data Tables'!Z16),IF($Y$23="675-700",IF($Y$24="Yes",'Data Tables'!Y16,'Data Tables'!Z16),IF($Y$23="700-750",IF($Y$24="Yes",'Data Tables'!AE16,'Data Tables'!AF16),IF($Y$23="750-800",IF($Y$24="Yes",'Data Tables'!AE16,'Data Tables'!AF16),IF($Y$23="800-850",IF($Y$24="Yes",'Data Tables'!AE16,'Data Tables'!AF16),IF($Y$24="Yes",'Data Tables'!AE16,'Data Tables'!AF16)))))))))),IF($Y$22="Impermeable - drained for arable",IF($Y$23="550-575",IF($Y$24="Yes",'Data Tables'!AA16,'Data Tables'!AB16),IF($Y$23="575-600",IF($Y$24="Yes",'Data Tables'!AA16,'Data Tables'!AB16),IF($Y$23="600-625",IF($Y$24="Yes",'Data Tables'!AA16,'Data Tables'!AB16),IF($Y$23="625-650",IF($Y$24="Yes",'Data Tables'!AA16,'Data Tables'!AB16),IF($Y$23="650-675",IF($Y$24="Yes",'Data Tables'!AA16,'Data Tables'!AB16),IF($Y$23="675-700",IF($Y$24="Yes",'Data Tables'!AA16,'Data Tables'!AB16),IF($Y$23="700-750",IF($Y$24="Yes",'Data Tables'!AG16,'Data Tables'!AH16),IF($Y$23="750-800",IF($Y$24="Yes",'Data Tables'!AG16,'Data Tables'!AH16),IF($Y$23="800-850",IF($Y$24="Yes",'Data Tables'!AG16,'Data Tables'!AH16),IF($Y$24="Yes",'Data Tables'!AG16,'Data Tables'!AH16)))))))))),IF($Y$23="550-575",IF($Y$24="Yes",'Data Tables'!AC16,'Data Tables'!AD16),IF($Y$23="575-600",IF($Y$24="Yes",'Data Tables'!AC16,'Data Tables'!AD16),IF($Y$23="600-625",IF($Y$24="Yes",'Data Tables'!AC16,'Data Tables'!AD16),IF($Y$23="625-650",IF($Y$24="Yes",'Data Tables'!AC16,'Data Tables'!AD16),IF($Y$23="650-675",IF($Y$24="Yes",'Data Tables'!AC16,'Data Tables'!AD16),IF($Y$23="675-700",IF($Y$24="Yes",'Data Tables'!AC16,'Data Tables'!AD16),IF($Y$23="700-750",IF($Y$24="Yes",'Data Tables'!AI16,'Data Tables'!AJ16),IF($Y$23="750-800",IF($Y$24="Yes",'Data Tables'!AI16,'Data Tables'!AJ16),IF($Y$23="800-850",IF($Y$24="Yes",'Data Tables'!AI16,'Data Tables'!AJ16),IF($Y$24="Yes",'Data Tables'!AI16,'Data Tables'!AJ16))))))))))))),(IF($Y$22="Freely draining",IF($Y$23="550-575",IF($Y$24="Yes",'Data Tables'!S27,'Data Tables'!T27),IF($Y$23="575-600",IF($Y$24="Yes",'Data Tables'!S27,'Data Tables'!T27),IF($Y$23="600-625",IF($Y$24="Yes",'Data Tables'!Y27,'Data Tables'!Z27),IF($Y$23="625-650",IF($Y$24="Yes",'Data Tables'!Y27,'Data Tables'!Z27),IF($Y$23="650-675",IF($Y$24="Yes",'Data Tables'!Y27,'Data Tables'!Z27),IF($Y$23="675-700",IF($Y$24="Yes",'Data Tables'!Y27,'Data Tables'!Z27),IF($Y$23="700-750",IF($Y$24="Yes",'Data Tables'!AE27,'Data Tables'!AF27),IF($Y$23="750-800",IF($Y$24="Yes",'Data Tables'!AE27,'Data Tables'!AF27),IF($Y$23="800-850",IF($Y$24="Yes",'Data Tables'!AE27,'Data Tables'!AF27),IF($Y$24="Yes",'Data Tables'!AE27,'Data Tables'!AF27)))))))))),IF($Y$22="Impermeable - drained for arable",IF($Y$23="550-575",IF($Y$24="Yes",'Data Tables'!U27,'Data Tables'!V27),IF($Y$23="575-600",IF($Y$24="Yes",'Data Tables'!U27,'Data Tables'!V27),IF($Y$23="600-625",IF($Y$24="Yes",'Data Tables'!AA27,'Data Tables'!AB27),IF($Y$23="625-650",IF($Y$24="Yes",'Data Tables'!AA27,'Data Tables'!AB27),IF($Y$23="650-675",IF($Y$24="Yes",'Data Tables'!AA27,'Data Tables'!AB27),IF($Y$23="675-700",IF($Y$24="Yes",'Data Tables'!AA27,'Data Tables'!AB27),IF($Y$23="700-750",IF($Y$24="Yes",'Data Tables'!AG27,'Data Tables'!AH27),IF($Y$23="750-800",IF($Y$24="Yes",'Data Tables'!AG27,'Data Tables'!AH27),IF($Y$23="800-850",IF($Y$24="Yes",'Data Tables'!AG27,'Data Tables'!AH27),IF($Y$24="Yes",'Data Tables'!AG27,'Data Tables'!AH27)))))))))),IF($Y$23="550-575",IF($Y$24="Yes",'Data Tables'!W27,'Data Tables'!X27),IF($Y$23="575-600",IF($Y$24="Yes",'Data Tables'!W27,'Data Tables'!X27),IF($Y$23="600-625",IF($Y$24="Yes",'Data Tables'!AC27,'Data Tables'!AD27),IF($Y$23="625-650",IF($Y$24="Yes",'Data Tables'!AC27,'Data Tables'!AD27),IF($Y$23="650-675",IF($Y$24="Yes",'Data Tables'!AC27,'Data Tables'!AD27),IF($Y$23="675-700",IF($Y$24="Yes",'Data Tables'!AC27,'Data Tables'!AD27),IF($Y$23="700-750",IF($Y$24="Yes",'Data Tables'!AI27,'Data Tables'!AJ27),IF($Y$23="750-800",IF($Y$24="Yes",'Data Tables'!AI27,'Data Tables'!AJ27),IF($Y$23="800-850",IF($Y$24="Yes",'Data Tables'!AI27,'Data Tables'!AJ27),IF($Y$24="Yes",'Data Tables'!AI27,'Data Tables'!AJ27))))))))))))))),0),"")</f>
        <v/>
      </c>
      <c r="AB32" s="285" t="str">
        <f>IF($Y$16="Yes",IF($Y32="Yes",IF($Y$21="Wensum",(IF($Y$22="Freely draining",IF($Y$23="550-575",IF($Y$24="Yes",'Data Tables'!AM5,'Data Tables'!AN5),IF($Y$23="575-600",IF($Y$24="Yes",'Data Tables'!AM5,'Data Tables'!AN5),IF($Y$23="600-625",IF($Y$24="Yes",'Data Tables'!AM5,'Data Tables'!AN5),IF($Y$23="625-650",IF($Y$24="Yes",'Data Tables'!AM5,'Data Tables'!AN5),IF($Y$23="650-675",IF($Y$24="Yes",'Data Tables'!AM5,'Data Tables'!AN5),IF($Y$23="675-700",IF($Y$24="Yes",'Data Tables'!AM5,'Data Tables'!AN5),IF($Y$23="700-750",IF($Y$24="Yes",'Data Tables'!AS5,'Data Tables'!AT5),IF($Y$23="750-800",IF($Y$24="Yes",'Data Tables'!AS5,'Data Tables'!AT5),IF($Y$23="800-850",IF($Y$24="Yes",'Data Tables'!AS5,'Data Tables'!AT5),IF($Y$24="Yes",'Data Tables'!AS5,'Data Tables'!AT5)))))))))),IF($Y$22="Impermeable - drained for arable",IF($Y$23="550-575",IF($Y$24="Yes",'Data Tables'!AO5,'Data Tables'!AP5),IF($Y$23="575-600",IF($Y$24="Yes",'Data Tables'!AO5,'Data Tables'!AP5),IF($Y$23="600-625",IF($Y$24="Yes",'Data Tables'!AO5,'Data Tables'!AP5),IF($Y$23="625-650",IF($Y$24="Yes",'Data Tables'!AO5,'Data Tables'!AP5),IF($Y$23="650-675",IF($Y$24="Yes",'Data Tables'!AO5,'Data Tables'!AP5),IF($Y$23="675-700",IF($Y$24="Yes",'Data Tables'!AO5,'Data Tables'!AP5),IF($Y$23="700-750",IF($Y$24="Yes",'Data Tables'!AU5,'Data Tables'!AV5),IF($Y$23="750-800",IF($Y$24="Yes",'Data Tables'!AU5,'Data Tables'!AV5),IF($Y$23="800-850",IF($Y$24="Yes",'Data Tables'!AU5,'Data Tables'!AV5),IF($Y$24="Yes",'Data Tables'!AU5,'Data Tables'!AV5)))))))))),IF($Y$23="550-575",IF($Y$24="Yes",'Data Tables'!AQ5,'Data Tables'!AR5),IF($Y$23="575-600",IF($Y$24="Yes",'Data Tables'!AQ5,'Data Tables'!AR5),IF($Y$23="600-625",IF($Y$24="Yes",'Data Tables'!AQ5,'Data Tables'!AR5),IF($Y$23="625-650",IF($Y$24="Yes",'Data Tables'!AQ5,'Data Tables'!AR5),IF($Y$23="650-675",IF($Y$24="Yes",'Data Tables'!AQ5,'Data Tables'!AR5),IF($Y$23="675-700",IF($Y$24="Yes",'Data Tables'!AQ5,'Data Tables'!AR5),IF($Y$23="700-750",IF($Y$24="Yes",'Data Tables'!AW5,'Data Tables'!AX5),IF($Y$23="750-800",IF($Y$24="Yes",'Data Tables'!AW5,'Data Tables'!AX5),IF($Y$23="800-850",IF($Y$24="Yes",'Data Tables'!AW5,'Data Tables'!AX5),IF($Y$24="Yes",'Data Tables'!AW5,'Data Tables'!AX5))))))))))))),IF($Y$21="Yare",(IF($Y$22="Freely draining",IF($Y$23="550-575",IF($Y$24="Yes",'Data Tables'!AM16,'Data Tables'!AN16),IF($Y$23="575-600",IF($Y$24="Yes",'Data Tables'!AM16,'Data Tables'!AN16),IF($Y$23="600-625",IF($Y$24="Yes",'Data Tables'!AM16,'Data Tables'!AN16),IF($Y$23="625-650",IF($Y$24="Yes",'Data Tables'!AM16,'Data Tables'!AN16),IF($Y$23="650-675",IF($Y$24="Yes",'Data Tables'!AM16,'Data Tables'!AN16),IF($Y$23="675-700",IF($Y$24="Yes",'Data Tables'!AM16,'Data Tables'!AN16),IF($Y$23="700-750",IF($Y$24="Yes",'Data Tables'!AS16,'Data Tables'!AT16),IF($Y$23="750-800",IF($Y$24="Yes",'Data Tables'!AS16,'Data Tables'!AT16),IF($Y$23="800-850",IF($Y$24="Yes",'Data Tables'!AS16,'Data Tables'!AT16),IF($Y$24="Yes",'Data Tables'!AS16,'Data Tables'!AT16)))))))))),IF($Y$22="Impermeable - drained for arable",IF($Y$23="550-575",IF($Y$24="Yes",'Data Tables'!AO16,'Data Tables'!AP16),IF($Y$23="575-600",IF($Y$24="Yes",'Data Tables'!AO16,'Data Tables'!AP16),IF($Y$23="600-625",IF($Y$24="Yes",'Data Tables'!AO16,'Data Tables'!AP16),IF($Y$23="625-650",IF($Y$24="Yes",'Data Tables'!AO16,'Data Tables'!AP16),IF($Y$23="650-675",IF($Y$24="Yes",'Data Tables'!AO16,'Data Tables'!AP16),IF($Y$23="675-700",IF($Y$24="Yes",'Data Tables'!AO16,'Data Tables'!AP16),IF($Y$23="700-750",IF($Y$24="Yes",'Data Tables'!AU16,'Data Tables'!AV16),IF($Y$23="750-800",IF($Y$24="Yes",'Data Tables'!AU16,'Data Tables'!AV16),IF($Y$23="800-850",IF($Y$24="Yes",'Data Tables'!AU16,'Data Tables'!AV16),IF($Y$24="Yes",'Data Tables'!AU16,'Data Tables'!AV16)))))))))),IF($Y$23="550-575",IF($Y$24="Yes",'Data Tables'!AQ16,'Data Tables'!AR16),IF($Y$23="575-600",IF($Y$24="Yes",'Data Tables'!AQ16,'Data Tables'!AR16),IF($Y$23="600-625",IF($Y$24="Yes",'Data Tables'!AQ16,'Data Tables'!AR16),IF($Y$23="625-650",IF($Y$24="Yes",'Data Tables'!AQ16,'Data Tables'!AR16),IF($Y$23="650-675",IF($Y$24="Yes",'Data Tables'!AQ16,'Data Tables'!AR16),IF($Y$23="675-700",IF($Y$24="Yes",'Data Tables'!AQ16,'Data Tables'!AR16),IF($Y$23="700-750",IF($Y$24="Yes",'Data Tables'!AW16,'Data Tables'!AX16),IF($Y$23="750-800",IF($Y$24="Yes",'Data Tables'!AW16,'Data Tables'!AX16),IF($Y$23="800-850",IF($Y$24="Yes",'Data Tables'!AW16,'Data Tables'!AX16),IF($Y$24="Yes",'Data Tables'!AW16,'Data Tables'!AX16))))))))))))),(IF($Y$22="Freely draining",IF($Y$23="550-575",IF($Y$24="Yes",'Data Tables'!AG27,'Data Tables'!AH27),IF($Y$23="575-600",IF($Y$24="Yes",'Data Tables'!AG27,'Data Tables'!AH27),IF($Y$23="600-625",IF($Y$24="Yes",'Data Tables'!AM27,'Data Tables'!AN27),IF($Y$23="625-650",IF($Y$24="Yes",'Data Tables'!AM27,'Data Tables'!AN27),IF($Y$23="650-675",IF($Y$24="Yes",'Data Tables'!AM27,'Data Tables'!AN27),IF($Y$23="675-700",IF($Y$24="Yes",'Data Tables'!AM27,'Data Tables'!AN27),IF($Y$23="700-750",IF($Y$24="Yes",'Data Tables'!AS27,'Data Tables'!AT27),IF($Y$23="750-800",IF($Y$24="Yes",'Data Tables'!AS27,'Data Tables'!AT27),IF($Y$23="800-850",IF($Y$24="Yes",'Data Tables'!AS27,'Data Tables'!AT27),IF($Y$24="Yes",'Data Tables'!AS27,'Data Tables'!AT27)))))))))),IF($Y$22="Impermeable - drained for arable",IF($Y$23="550-575",IF($Y$24="Yes",'Data Tables'!AI27,'Data Tables'!AJ27),IF($Y$23="575-600",IF($Y$24="Yes",'Data Tables'!AI27,'Data Tables'!AJ27),IF($Y$23="600-625",IF($Y$24="Yes",'Data Tables'!AO27,'Data Tables'!AP27),IF($Y$23="625-650",IF($Y$24="Yes",'Data Tables'!AO27,'Data Tables'!AP27),IF($Y$23="650-675",IF($Y$24="Yes",'Data Tables'!AO27,'Data Tables'!AP27),IF($Y$23="675-700",IF($Y$24="Yes",'Data Tables'!AO27,'Data Tables'!AP27),IF($Y$23="700-750",IF($Y$24="Yes",'Data Tables'!AU27,'Data Tables'!AV27),IF($Y$23="750-800",IF($Y$24="Yes",'Data Tables'!AU27,'Data Tables'!AV27),IF($Y$23="800-850",IF($Y$24="Yes",'Data Tables'!AU27,'Data Tables'!AV27),IF($Y$24="Yes",'Data Tables'!AU27,'Data Tables'!AV27)))))))))),IF($Y$23="550-575",IF($Y$24="Yes",'Data Tables'!AK27,'Data Tables'!AL27),IF($Y$23="575-600",IF($Y$24="Yes",'Data Tables'!AK27,'Data Tables'!AL27),IF($Y$23="600-625",IF($Y$24="Yes",'Data Tables'!AQ27,'Data Tables'!AR27),IF($Y$23="625-650",IF($Y$24="Yes",'Data Tables'!AQ27,'Data Tables'!AR27),IF($Y$23="650-675",IF($Y$24="Yes",'Data Tables'!AQ27,'Data Tables'!AR27),IF($Y$23="675-700",IF($Y$24="Yes",'Data Tables'!AQ27,'Data Tables'!AR27),IF($Y$23="700-750",IF($Y$24="Yes",'Data Tables'!AW27,'Data Tables'!AX27),IF($Y$23="750-800",IF($Y$24="Yes",'Data Tables'!AW27,'Data Tables'!AX27),IF($Y$23="800-850",IF($Y$24="Yes",'Data Tables'!AW27,'Data Tables'!AX27),IF($Y$24="Yes",'Data Tables'!AW27,'Data Tables'!AX27))))))))))))))),0),"")</f>
        <v/>
      </c>
      <c r="AC32" s="313"/>
      <c r="AF32" s="94"/>
      <c r="AG32" s="94"/>
      <c r="AH32" s="94"/>
      <c r="AI32" s="94"/>
      <c r="AJ32" s="94"/>
      <c r="AK32" s="94"/>
      <c r="AL32" s="94"/>
      <c r="AM32" s="94"/>
      <c r="AN32" s="94"/>
      <c r="AO32" s="94"/>
      <c r="AP32" s="94"/>
      <c r="AQ32" s="94"/>
      <c r="AR32" s="94"/>
      <c r="AT32" s="94"/>
      <c r="AU32" s="94"/>
      <c r="AV32" s="94"/>
      <c r="AW32" s="94"/>
      <c r="AX32" s="94"/>
      <c r="AY32" s="94"/>
      <c r="AZ32" s="94"/>
      <c r="BA32" s="94"/>
    </row>
    <row r="33" spans="2:53" ht="15.95" customHeight="1" x14ac:dyDescent="0.25">
      <c r="B33" s="46"/>
      <c r="C33" s="42"/>
      <c r="D33" s="227"/>
      <c r="E33" s="432" t="str">
        <f>'Stage 2'!F28</f>
        <v>Lowland grazing</v>
      </c>
      <c r="F33" s="432"/>
      <c r="G33" s="432"/>
      <c r="H33" s="432"/>
      <c r="I33" s="432"/>
      <c r="J33" s="49"/>
      <c r="K33" s="315" t="str">
        <f>IF('Stage 2'!$K28&gt;0,'Stage 2'!O28/'Stage 2'!$K28,"")</f>
        <v/>
      </c>
      <c r="L33" s="230"/>
      <c r="M33" s="273" t="str">
        <f>IF('Stage 2'!$K28&gt;0,'Stage 2'!Q28/'Stage 2'!$K28,"")</f>
        <v/>
      </c>
      <c r="N33" s="238" t="s">
        <v>62</v>
      </c>
      <c r="O33" s="240" t="s">
        <v>81</v>
      </c>
      <c r="P33" s="258"/>
      <c r="Q33" s="49"/>
      <c r="R33" s="49"/>
      <c r="S33" s="49"/>
      <c r="T33" s="432" t="str">
        <f t="shared" si="0"/>
        <v>Lowland grazing</v>
      </c>
      <c r="U33" s="432"/>
      <c r="V33" s="432"/>
      <c r="W33" s="432"/>
      <c r="X33" s="432"/>
      <c r="Y33" s="238" t="s">
        <v>62</v>
      </c>
      <c r="Z33" s="49"/>
      <c r="AA33" s="285" t="str">
        <f>IF($Y$16="Yes",IF($Y33="Yes",IF($Y$21="Wensum",(IF($Y$22="Freely draining",IF($Y$23="550-575",IF($Y$24="Yes",'Data Tables'!Y6,'Data Tables'!Z6),IF($Y$23="575-600",IF($Y$24="Yes",'Data Tables'!Y6,'Data Tables'!Z6),IF($Y$23="600-625",IF($Y$24="Yes",'Data Tables'!Y6,'Data Tables'!Z6),IF($Y$23="625-650",IF($Y$24="Yes",'Data Tables'!Y6,'Data Tables'!Z6),IF($Y$23="650-675",IF($Y$24="Yes",'Data Tables'!Y6,'Data Tables'!Z6),IF($Y$23="675-700",IF($Y$24="Yes",'Data Tables'!Y6,'Data Tables'!Z6),IF($Y$23="700-750",IF($Y$24="Yes",'Data Tables'!AE6,'Data Tables'!AF6),IF($Y$23="750-800",IF($Y$24="Yes",'Data Tables'!AE6,'Data Tables'!AF6),IF($Y$23="800-850",IF($Y$24="Yes",'Data Tables'!AE6,'Data Tables'!AF6),IF($Y$24="Yes",'Data Tables'!AE6,'Data Tables'!AF6)))))))))),IF($Y$22="Impermeable - drained for arable",IF($Y$23="550-575",IF($Y$24="Yes",'Data Tables'!AA6,'Data Tables'!AB6),IF($Y$23="575-600",IF($Y$24="Yes",'Data Tables'!AA6,'Data Tables'!AB6),IF($Y$23="600-625",IF($Y$24="Yes",'Data Tables'!AA6,'Data Tables'!AB6),IF($Y$23="625-650",IF($Y$24="Yes",'Data Tables'!AA6,'Data Tables'!AB6),IF($Y$23="650-675",IF($Y$24="Yes",'Data Tables'!AA6,'Data Tables'!AB6),IF($Y$23="675-700",IF($Y$24="Yes",'Data Tables'!AA6,'Data Tables'!AB6),IF($Y$23="700-750",IF($Y$24="Yes",'Data Tables'!AG6,'Data Tables'!AH6),IF($Y$23="750-800",IF($Y$24="Yes",'Data Tables'!AG6,'Data Tables'!AH6),IF($Y$23="800-850",IF($Y$24="Yes",'Data Tables'!AG6,'Data Tables'!AH6),IF($Y$24="Yes",'Data Tables'!AG6,'Data Tables'!AH6)))))))))),IF($Y$23="550-575",IF($Y$24="Yes",'Data Tables'!AC6,'Data Tables'!AD6),IF($Y$23="575-600",IF($Y$24="Yes",'Data Tables'!AC6,'Data Tables'!AD6),IF($Y$23="600-625",IF($Y$24="Yes",'Data Tables'!AC6,'Data Tables'!AD6),IF($Y$23="625-650",IF($Y$24="Yes",'Data Tables'!AC6,'Data Tables'!AD6),IF($Y$23="650-675",IF($Y$24="Yes",'Data Tables'!AC6,'Data Tables'!AD6),IF($Y$23="675-700",IF($Y$24="Yes",'Data Tables'!AC6,'Data Tables'!AD6),IF($Y$23="700-750",IF($Y$24="Yes",'Data Tables'!AI6,'Data Tables'!AJ6),IF($Y$23="750-800",IF($Y$24="Yes",'Data Tables'!AI6,'Data Tables'!AJ6),IF($Y$23="800-850",IF($Y$24="Yes",'Data Tables'!AI6,'Data Tables'!AJ6),IF($Y$24="Yes",'Data Tables'!AI6,'Data Tables'!AJ6))))))))))))),IF($Y$21="Yare",(IF($Y$22="Freely draining",IF($Y$23="550-575",IF($Y$24="Yes",'Data Tables'!Y17,'Data Tables'!Z17),IF($Y$23="575-600",IF($Y$24="Yes",'Data Tables'!Y17,'Data Tables'!Z17),IF($Y$23="600-625",IF($Y$24="Yes",'Data Tables'!Y17,'Data Tables'!Z17),IF($Y$23="625-650",IF($Y$24="Yes",'Data Tables'!Y17,'Data Tables'!Z17),IF($Y$23="650-675",IF($Y$24="Yes",'Data Tables'!Y17,'Data Tables'!Z17),IF($Y$23="675-700",IF($Y$24="Yes",'Data Tables'!Y17,'Data Tables'!Z17),IF($Y$23="700-750",IF($Y$24="Yes",'Data Tables'!AE17,'Data Tables'!AF17),IF($Y$23="750-800",IF($Y$24="Yes",'Data Tables'!AE17,'Data Tables'!AF17),IF($Y$23="800-850",IF($Y$24="Yes",'Data Tables'!AE17,'Data Tables'!AF17),IF($Y$24="Yes",'Data Tables'!AE17,'Data Tables'!AF17)))))))))),IF($Y$22="Impermeable - drained for arable",IF($Y$23="550-575",IF($Y$24="Yes",'Data Tables'!AA17,'Data Tables'!AB17),IF($Y$23="575-600",IF($Y$24="Yes",'Data Tables'!AA17,'Data Tables'!AB17),IF($Y$23="600-625",IF($Y$24="Yes",'Data Tables'!AA17,'Data Tables'!AB17),IF($Y$23="625-650",IF($Y$24="Yes",'Data Tables'!AA17,'Data Tables'!AB17),IF($Y$23="650-675",IF($Y$24="Yes",'Data Tables'!AA17,'Data Tables'!AB17),IF($Y$23="675-700",IF($Y$24="Yes",'Data Tables'!AA17,'Data Tables'!AB17),IF($Y$23="700-750",IF($Y$24="Yes",'Data Tables'!AG17,'Data Tables'!AH17),IF($Y$23="750-800",IF($Y$24="Yes",'Data Tables'!AG17,'Data Tables'!AH17),IF($Y$23="800-850",IF($Y$24="Yes",'Data Tables'!AG17,'Data Tables'!AH17),IF($Y$24="Yes",'Data Tables'!AG17,'Data Tables'!AH17)))))))))),IF($Y$23="550-575",IF($Y$24="Yes",'Data Tables'!AC17,'Data Tables'!AD17),IF($Y$23="575-600",IF($Y$24="Yes",'Data Tables'!AC17,'Data Tables'!AD17),IF($Y$23="600-625",IF($Y$24="Yes",'Data Tables'!AC17,'Data Tables'!AD17),IF($Y$23="625-650",IF($Y$24="Yes",'Data Tables'!AC17,'Data Tables'!AD17),IF($Y$23="650-675",IF($Y$24="Yes",'Data Tables'!AC17,'Data Tables'!AD17),IF($Y$23="675-700",IF($Y$24="Yes",'Data Tables'!AC17,'Data Tables'!AD17),IF($Y$23="700-750",IF($Y$24="Yes",'Data Tables'!AI17,'Data Tables'!AJ17),IF($Y$23="750-800",IF($Y$24="Yes",'Data Tables'!AI17,'Data Tables'!AJ17),IF($Y$23="800-850",IF($Y$24="Yes",'Data Tables'!AI17,'Data Tables'!AJ17),IF($Y$24="Yes",'Data Tables'!AI17,'Data Tables'!AJ17))))))))))))),(IF($Y$22="Freely draining",IF($Y$23="550-575",IF($Y$24="Yes",'Data Tables'!S28,'Data Tables'!T28),IF($Y$23="575-600",IF($Y$24="Yes",'Data Tables'!S28,'Data Tables'!T28),IF($Y$23="600-625",IF($Y$24="Yes",'Data Tables'!Y28,'Data Tables'!Z28),IF($Y$23="625-650",IF($Y$24="Yes",'Data Tables'!Y28,'Data Tables'!Z28),IF($Y$23="650-675",IF($Y$24="Yes",'Data Tables'!Y28,'Data Tables'!Z28),IF($Y$23="675-700",IF($Y$24="Yes",'Data Tables'!Y28,'Data Tables'!Z28),IF($Y$23="700-750",IF($Y$24="Yes",'Data Tables'!AE28,'Data Tables'!AF28),IF($Y$23="750-800",IF($Y$24="Yes",'Data Tables'!AE28,'Data Tables'!AF28),IF($Y$23="800-850",IF($Y$24="Yes",'Data Tables'!AE28,'Data Tables'!AF28),IF($Y$24="Yes",'Data Tables'!AE28,'Data Tables'!AF28)))))))))),IF($Y$22="Impermeable - drained for arable",IF($Y$23="550-575",IF($Y$24="Yes",'Data Tables'!U28,'Data Tables'!V28),IF($Y$23="575-600",IF($Y$24="Yes",'Data Tables'!U28,'Data Tables'!V28),IF($Y$23="600-625",IF($Y$24="Yes",'Data Tables'!AA28,'Data Tables'!AB28),IF($Y$23="625-650",IF($Y$24="Yes",'Data Tables'!AA28,'Data Tables'!AB28),IF($Y$23="650-675",IF($Y$24="Yes",'Data Tables'!AA28,'Data Tables'!AB28),IF($Y$23="675-700",IF($Y$24="Yes",'Data Tables'!AA28,'Data Tables'!AB28),IF($Y$23="700-750",IF($Y$24="Yes",'Data Tables'!AG28,'Data Tables'!AH28),IF($Y$23="750-800",IF($Y$24="Yes",'Data Tables'!AG28,'Data Tables'!AH28),IF($Y$23="800-850",IF($Y$24="Yes",'Data Tables'!AG28,'Data Tables'!AH28),IF($Y$24="Yes",'Data Tables'!AG28,'Data Tables'!AH28)))))))))),IF($Y$23="550-575",IF($Y$24="Yes",'Data Tables'!W28,'Data Tables'!X28),IF($Y$23="575-600",IF($Y$24="Yes",'Data Tables'!W28,'Data Tables'!X28),IF($Y$23="600-625",IF($Y$24="Yes",'Data Tables'!AC28,'Data Tables'!AD28),IF($Y$23="625-650",IF($Y$24="Yes",'Data Tables'!AC28,'Data Tables'!AD28),IF($Y$23="650-675",IF($Y$24="Yes",'Data Tables'!AC28,'Data Tables'!AD28),IF($Y$23="675-700",IF($Y$24="Yes",'Data Tables'!AC28,'Data Tables'!AD28),IF($Y$23="700-750",IF($Y$24="Yes",'Data Tables'!AI28,'Data Tables'!AJ28),IF($Y$23="750-800",IF($Y$24="Yes",'Data Tables'!AI28,'Data Tables'!AJ28),IF($Y$23="800-850",IF($Y$24="Yes",'Data Tables'!AI28,'Data Tables'!AJ28),IF($Y$24="Yes",'Data Tables'!AI28,'Data Tables'!AJ28))))))))))))))),0),"")</f>
        <v/>
      </c>
      <c r="AB33" s="285" t="str">
        <f>IF($Y$16="Yes",IF($Y33="Yes",IF($Y$21="Wensum",(IF($Y$22="Freely draining",IF($Y$23="550-575",IF($Y$24="Yes",'Data Tables'!AM6,'Data Tables'!AN6),IF($Y$23="575-600",IF($Y$24="Yes",'Data Tables'!AM6,'Data Tables'!AN6),IF($Y$23="600-625",IF($Y$24="Yes",'Data Tables'!AM6,'Data Tables'!AN6),IF($Y$23="625-650",IF($Y$24="Yes",'Data Tables'!AM6,'Data Tables'!AN6),IF($Y$23="650-675",IF($Y$24="Yes",'Data Tables'!AM6,'Data Tables'!AN6),IF($Y$23="675-700",IF($Y$24="Yes",'Data Tables'!AM6,'Data Tables'!AN6),IF($Y$23="700-750",IF($Y$24="Yes",'Data Tables'!AS6,'Data Tables'!AT6),IF($Y$23="750-800",IF($Y$24="Yes",'Data Tables'!AS6,'Data Tables'!AT6),IF($Y$23="800-850",IF($Y$24="Yes",'Data Tables'!AS6,'Data Tables'!AT6),IF($Y$24="Yes",'Data Tables'!AS6,'Data Tables'!AT6)))))))))),IF($Y$22="Impermeable - drained for arable",IF($Y$23="550-575",IF($Y$24="Yes",'Data Tables'!AO6,'Data Tables'!AP6),IF($Y$23="575-600",IF($Y$24="Yes",'Data Tables'!AO6,'Data Tables'!AP6),IF($Y$23="600-625",IF($Y$24="Yes",'Data Tables'!AO6,'Data Tables'!AP6),IF($Y$23="625-650",IF($Y$24="Yes",'Data Tables'!AO6,'Data Tables'!AP6),IF($Y$23="650-675",IF($Y$24="Yes",'Data Tables'!AO6,'Data Tables'!AP6),IF($Y$23="675-700",IF($Y$24="Yes",'Data Tables'!AO6,'Data Tables'!AP6),IF($Y$23="700-750",IF($Y$24="Yes",'Data Tables'!AU6,'Data Tables'!AV6),IF($Y$23="750-800",IF($Y$24="Yes",'Data Tables'!AU6,'Data Tables'!AV6),IF($Y$23="800-850",IF($Y$24="Yes",'Data Tables'!AU6,'Data Tables'!AV6),IF($Y$24="Yes",'Data Tables'!AU6,'Data Tables'!AV6)))))))))),IF($Y$23="550-575",IF($Y$24="Yes",'Data Tables'!AQ6,'Data Tables'!AR6),IF($Y$23="575-600",IF($Y$24="Yes",'Data Tables'!AQ6,'Data Tables'!AR6),IF($Y$23="600-625",IF($Y$24="Yes",'Data Tables'!AQ6,'Data Tables'!AR6),IF($Y$23="625-650",IF($Y$24="Yes",'Data Tables'!AQ6,'Data Tables'!AR6),IF($Y$23="650-675",IF($Y$24="Yes",'Data Tables'!AQ6,'Data Tables'!AR6),IF($Y$23="675-700",IF($Y$24="Yes",'Data Tables'!AQ6,'Data Tables'!AR6),IF($Y$23="700-750",IF($Y$24="Yes",'Data Tables'!AW6,'Data Tables'!AX6),IF($Y$23="750-800",IF($Y$24="Yes",'Data Tables'!AW6,'Data Tables'!AX6),IF($Y$23="800-850",IF($Y$24="Yes",'Data Tables'!AW6,'Data Tables'!AX6),IF($Y$24="Yes",'Data Tables'!AW6,'Data Tables'!AX6))))))))))))),IF($Y$21="Yare",(IF($Y$22="Freely draining",IF($Y$23="550-575",IF($Y$24="Yes",'Data Tables'!AM17,'Data Tables'!AN17),IF($Y$23="575-600",IF($Y$24="Yes",'Data Tables'!AM17,'Data Tables'!AN17),IF($Y$23="600-625",IF($Y$24="Yes",'Data Tables'!AM17,'Data Tables'!AN17),IF($Y$23="625-650",IF($Y$24="Yes",'Data Tables'!AM17,'Data Tables'!AN17),IF($Y$23="650-675",IF($Y$24="Yes",'Data Tables'!AM17,'Data Tables'!AN17),IF($Y$23="675-700",IF($Y$24="Yes",'Data Tables'!AM17,'Data Tables'!AN17),IF($Y$23="700-750",IF($Y$24="Yes",'Data Tables'!AS17,'Data Tables'!AT17),IF($Y$23="750-800",IF($Y$24="Yes",'Data Tables'!AS17,'Data Tables'!AT17),IF($Y$23="800-850",IF($Y$24="Yes",'Data Tables'!AS17,'Data Tables'!AT17),IF($Y$24="Yes",'Data Tables'!AS17,'Data Tables'!AT17)))))))))),IF($Y$22="Impermeable - drained for arable",IF($Y$23="550-575",IF($Y$24="Yes",'Data Tables'!AO17,'Data Tables'!AP17),IF($Y$23="575-600",IF($Y$24="Yes",'Data Tables'!AO17,'Data Tables'!AP17),IF($Y$23="600-625",IF($Y$24="Yes",'Data Tables'!AO17,'Data Tables'!AP17),IF($Y$23="625-650",IF($Y$24="Yes",'Data Tables'!AO17,'Data Tables'!AP17),IF($Y$23="650-675",IF($Y$24="Yes",'Data Tables'!AO17,'Data Tables'!AP17),IF($Y$23="675-700",IF($Y$24="Yes",'Data Tables'!AO17,'Data Tables'!AP17),IF($Y$23="700-750",IF($Y$24="Yes",'Data Tables'!AU17,'Data Tables'!AV17),IF($Y$23="750-800",IF($Y$24="Yes",'Data Tables'!AU17,'Data Tables'!AV17),IF($Y$23="800-850",IF($Y$24="Yes",'Data Tables'!AU17,'Data Tables'!AV17),IF($Y$24="Yes",'Data Tables'!AU17,'Data Tables'!AV17)))))))))),IF($Y$23="550-575",IF($Y$24="Yes",'Data Tables'!AQ17,'Data Tables'!AR17),IF($Y$23="575-600",IF($Y$24="Yes",'Data Tables'!AQ17,'Data Tables'!AR17),IF($Y$23="600-625",IF($Y$24="Yes",'Data Tables'!AQ17,'Data Tables'!AR17),IF($Y$23="625-650",IF($Y$24="Yes",'Data Tables'!AQ17,'Data Tables'!AR17),IF($Y$23="650-675",IF($Y$24="Yes",'Data Tables'!AQ17,'Data Tables'!AR17),IF($Y$23="675-700",IF($Y$24="Yes",'Data Tables'!AQ17,'Data Tables'!AR17),IF($Y$23="700-750",IF($Y$24="Yes",'Data Tables'!AW17,'Data Tables'!AX17),IF($Y$23="750-800",IF($Y$24="Yes",'Data Tables'!AW17,'Data Tables'!AX17),IF($Y$23="800-850",IF($Y$24="Yes",'Data Tables'!AW17,'Data Tables'!AX17),IF($Y$24="Yes",'Data Tables'!AW17,'Data Tables'!AX17))))))))))))),(IF($Y$22="Freely draining",IF($Y$23="550-575",IF($Y$24="Yes",'Data Tables'!AG28,'Data Tables'!AH28),IF($Y$23="575-600",IF($Y$24="Yes",'Data Tables'!AG28,'Data Tables'!AH28),IF($Y$23="600-625",IF($Y$24="Yes",'Data Tables'!AM28,'Data Tables'!AN28),IF($Y$23="625-650",IF($Y$24="Yes",'Data Tables'!AM28,'Data Tables'!AN28),IF($Y$23="650-675",IF($Y$24="Yes",'Data Tables'!AM28,'Data Tables'!AN28),IF($Y$23="675-700",IF($Y$24="Yes",'Data Tables'!AM28,'Data Tables'!AN28),IF($Y$23="700-750",IF($Y$24="Yes",'Data Tables'!AS28,'Data Tables'!AT28),IF($Y$23="750-800",IF($Y$24="Yes",'Data Tables'!AS28,'Data Tables'!AT28),IF($Y$23="800-850",IF($Y$24="Yes",'Data Tables'!AS28,'Data Tables'!AT28),IF($Y$24="Yes",'Data Tables'!AS28,'Data Tables'!AT28)))))))))),IF($Y$22="Impermeable - drained for arable",IF($Y$23="550-575",IF($Y$24="Yes",'Data Tables'!AI28,'Data Tables'!AJ28),IF($Y$23="575-600",IF($Y$24="Yes",'Data Tables'!AI28,'Data Tables'!AJ28),IF($Y$23="600-625",IF($Y$24="Yes",'Data Tables'!AO28,'Data Tables'!AP28),IF($Y$23="625-650",IF($Y$24="Yes",'Data Tables'!AO28,'Data Tables'!AP28),IF($Y$23="650-675",IF($Y$24="Yes",'Data Tables'!AO28,'Data Tables'!AP28),IF($Y$23="675-700",IF($Y$24="Yes",'Data Tables'!AO28,'Data Tables'!AP28),IF($Y$23="700-750",IF($Y$24="Yes",'Data Tables'!AU28,'Data Tables'!AV28),IF($Y$23="750-800",IF($Y$24="Yes",'Data Tables'!AU28,'Data Tables'!AV28),IF($Y$23="800-850",IF($Y$24="Yes",'Data Tables'!AU28,'Data Tables'!AV28),IF($Y$24="Yes",'Data Tables'!AU28,'Data Tables'!AV28)))))))))),IF($Y$23="550-575",IF($Y$24="Yes",'Data Tables'!AK28,'Data Tables'!AL28),IF($Y$23="575-600",IF($Y$24="Yes",'Data Tables'!AK28,'Data Tables'!AL28),IF($Y$23="600-625",IF($Y$24="Yes",'Data Tables'!AQ28,'Data Tables'!AR28),IF($Y$23="625-650",IF($Y$24="Yes",'Data Tables'!AQ28,'Data Tables'!AR28),IF($Y$23="650-675",IF($Y$24="Yes",'Data Tables'!AQ28,'Data Tables'!AR28),IF($Y$23="675-700",IF($Y$24="Yes",'Data Tables'!AQ28,'Data Tables'!AR28),IF($Y$23="700-750",IF($Y$24="Yes",'Data Tables'!AW28,'Data Tables'!AX28),IF($Y$23="750-800",IF($Y$24="Yes",'Data Tables'!AW28,'Data Tables'!AX28),IF($Y$23="800-850",IF($Y$24="Yes",'Data Tables'!AW28,'Data Tables'!AX28),IF($Y$24="Yes",'Data Tables'!AW28,'Data Tables'!AX28))))))))))))))),0),"")</f>
        <v/>
      </c>
      <c r="AC33" s="313"/>
      <c r="AF33" s="94"/>
      <c r="AG33" s="94"/>
      <c r="AH33" s="94"/>
      <c r="AI33" s="94"/>
      <c r="AJ33" s="94"/>
      <c r="AK33" s="94"/>
      <c r="AL33" s="94"/>
      <c r="AM33" s="94"/>
      <c r="AN33" s="94"/>
      <c r="AO33" s="94"/>
      <c r="AP33" s="94"/>
      <c r="AQ33" s="94"/>
      <c r="AR33" s="94"/>
      <c r="AT33" s="94"/>
      <c r="AU33" s="94"/>
      <c r="AV33" s="94"/>
      <c r="AW33" s="94"/>
      <c r="AX33" s="94"/>
      <c r="AY33" s="94"/>
      <c r="AZ33" s="94"/>
      <c r="BA33" s="94"/>
    </row>
    <row r="34" spans="2:53" ht="15.95" customHeight="1" x14ac:dyDescent="0.25">
      <c r="B34" s="46"/>
      <c r="C34" s="42"/>
      <c r="D34" s="227"/>
      <c r="E34" s="432" t="str">
        <f>'Stage 2'!F29</f>
        <v>Mixed</v>
      </c>
      <c r="F34" s="432"/>
      <c r="G34" s="432"/>
      <c r="H34" s="432"/>
      <c r="I34" s="432"/>
      <c r="J34" s="49"/>
      <c r="K34" s="315" t="str">
        <f>IF('Stage 2'!$K29&gt;0,'Stage 2'!O29/'Stage 2'!$K29,"")</f>
        <v/>
      </c>
      <c r="L34" s="230"/>
      <c r="M34" s="273" t="str">
        <f>IF('Stage 2'!$K29&gt;0,'Stage 2'!Q29/'Stage 2'!$K29,"")</f>
        <v/>
      </c>
      <c r="N34" s="238" t="s">
        <v>62</v>
      </c>
      <c r="O34" s="240" t="s">
        <v>81</v>
      </c>
      <c r="P34" s="258"/>
      <c r="Q34" s="49"/>
      <c r="R34" s="49"/>
      <c r="S34" s="49"/>
      <c r="T34" s="432" t="str">
        <f t="shared" si="0"/>
        <v>Mixed</v>
      </c>
      <c r="U34" s="432"/>
      <c r="V34" s="432"/>
      <c r="W34" s="432"/>
      <c r="X34" s="432"/>
      <c r="Y34" s="238" t="s">
        <v>62</v>
      </c>
      <c r="Z34" s="49"/>
      <c r="AA34" s="285" t="str">
        <f>IF($Y$16="Yes",IF($Y34="Yes",IF($Y$21="Wensum",(IF($Y$22="Freely draining",IF($Y$23="550-575",IF($Y$24="Yes",'Data Tables'!Y7,'Data Tables'!Z7),IF($Y$23="575-600",IF($Y$24="Yes",'Data Tables'!Y7,'Data Tables'!Z7),IF($Y$23="600-625",IF($Y$24="Yes",'Data Tables'!Y7,'Data Tables'!Z7),IF($Y$23="625-650",IF($Y$24="Yes",'Data Tables'!Y7,'Data Tables'!Z7),IF($Y$23="650-675",IF($Y$24="Yes",'Data Tables'!Y7,'Data Tables'!Z7),IF($Y$23="675-700",IF($Y$24="Yes",'Data Tables'!Y7,'Data Tables'!Z7),IF($Y$23="700-750",IF($Y$24="Yes",'Data Tables'!AE7,'Data Tables'!AF7),IF($Y$23="750-800",IF($Y$24="Yes",'Data Tables'!AE7,'Data Tables'!AF7),IF($Y$23="800-850",IF($Y$24="Yes",'Data Tables'!AE7,'Data Tables'!AF7),IF($Y$24="Yes",'Data Tables'!AE7,'Data Tables'!AF7)))))))))),IF($Y$22="Impermeable - drained for arable",IF($Y$23="550-575",IF($Y$24="Yes",'Data Tables'!AA7,'Data Tables'!AB7),IF($Y$23="575-600",IF($Y$24="Yes",'Data Tables'!AA7,'Data Tables'!AB7),IF($Y$23="600-625",IF($Y$24="Yes",'Data Tables'!AA7,'Data Tables'!AB7),IF($Y$23="625-650",IF($Y$24="Yes",'Data Tables'!AA7,'Data Tables'!AB7),IF($Y$23="650-675",IF($Y$24="Yes",'Data Tables'!AA7,'Data Tables'!AB7),IF($Y$23="675-700",IF($Y$24="Yes",'Data Tables'!AA7,'Data Tables'!AB7),IF($Y$23="700-750",IF($Y$24="Yes",'Data Tables'!AG7,'Data Tables'!AH7),IF($Y$23="750-800",IF($Y$24="Yes",'Data Tables'!AG7,'Data Tables'!AH7),IF($Y$23="800-850",IF($Y$24="Yes",'Data Tables'!AG7,'Data Tables'!AH7),IF($Y$24="Yes",'Data Tables'!AG7,'Data Tables'!AH7)))))))))),IF($Y$23="550-575",IF($Y$24="Yes",'Data Tables'!AC7,'Data Tables'!AD7),IF($Y$23="575-600",IF($Y$24="Yes",'Data Tables'!AC7,'Data Tables'!AD7),IF($Y$23="600-625",IF($Y$24="Yes",'Data Tables'!AC7,'Data Tables'!AD7),IF($Y$23="625-650",IF($Y$24="Yes",'Data Tables'!AC7,'Data Tables'!AD7),IF($Y$23="650-675",IF($Y$24="Yes",'Data Tables'!AC7,'Data Tables'!AD7),IF($Y$23="675-700",IF($Y$24="Yes",'Data Tables'!AC7,'Data Tables'!AD7),IF($Y$23="700-750",IF($Y$24="Yes",'Data Tables'!AI7,'Data Tables'!AJ7),IF($Y$23="750-800",IF($Y$24="Yes",'Data Tables'!AI7,'Data Tables'!AJ7),IF($Y$23="800-850",IF($Y$24="Yes",'Data Tables'!AI7,'Data Tables'!AJ7),IF($Y$24="Yes",'Data Tables'!AI7,'Data Tables'!AJ7))))))))))))),IF($Y$21="Yare",(IF($Y$22="Freely draining",IF($Y$23="550-575",IF($Y$24="Yes",'Data Tables'!Y18,'Data Tables'!Z18),IF($Y$23="575-600",IF($Y$24="Yes",'Data Tables'!Y18,'Data Tables'!Z18),IF($Y$23="600-625",IF($Y$24="Yes",'Data Tables'!Y18,'Data Tables'!Z18),IF($Y$23="625-650",IF($Y$24="Yes",'Data Tables'!Y18,'Data Tables'!Z18),IF($Y$23="650-675",IF($Y$24="Yes",'Data Tables'!Y18,'Data Tables'!Z18),IF($Y$23="675-700",IF($Y$24="Yes",'Data Tables'!Y18,'Data Tables'!Z18),IF($Y$23="700-750",IF($Y$24="Yes",'Data Tables'!AE18,'Data Tables'!AF18),IF($Y$23="750-800",IF($Y$24="Yes",'Data Tables'!AE18,'Data Tables'!AF18),IF($Y$23="800-850",IF($Y$24="Yes",'Data Tables'!AE18,'Data Tables'!AF18),IF($Y$24="Yes",'Data Tables'!AE18,'Data Tables'!AF18)))))))))),IF($Y$22="Impermeable - drained for arable",IF($Y$23="550-575",IF($Y$24="Yes",'Data Tables'!AA18,'Data Tables'!AB18),IF($Y$23="575-600",IF($Y$24="Yes",'Data Tables'!AA18,'Data Tables'!AB18),IF($Y$23="600-625",IF($Y$24="Yes",'Data Tables'!AA18,'Data Tables'!AB18),IF($Y$23="625-650",IF($Y$24="Yes",'Data Tables'!AA18,'Data Tables'!AB18),IF($Y$23="650-675",IF($Y$24="Yes",'Data Tables'!AA18,'Data Tables'!AB18),IF($Y$23="675-700",IF($Y$24="Yes",'Data Tables'!AA18,'Data Tables'!AB18),IF($Y$23="700-750",IF($Y$24="Yes",'Data Tables'!AG18,'Data Tables'!AH18),IF($Y$23="750-800",IF($Y$24="Yes",'Data Tables'!AG18,'Data Tables'!AH18),IF($Y$23="800-850",IF($Y$24="Yes",'Data Tables'!AG18,'Data Tables'!AH18),IF($Y$24="Yes",'Data Tables'!AG18,'Data Tables'!AH18)))))))))),IF($Y$23="550-575",IF($Y$24="Yes",'Data Tables'!AC18,'Data Tables'!AD18),IF($Y$23="575-600",IF($Y$24="Yes",'Data Tables'!AC18,'Data Tables'!AD18),IF($Y$23="600-625",IF($Y$24="Yes",'Data Tables'!AC18,'Data Tables'!AD18),IF($Y$23="625-650",IF($Y$24="Yes",'Data Tables'!AC18,'Data Tables'!AD18),IF($Y$23="650-675",IF($Y$24="Yes",'Data Tables'!AC18,'Data Tables'!AD18),IF($Y$23="675-700",IF($Y$24="Yes",'Data Tables'!AC18,'Data Tables'!AD18),IF($Y$23="700-750",IF($Y$24="Yes",'Data Tables'!AI18,'Data Tables'!AJ18),IF($Y$23="750-800",IF($Y$24="Yes",'Data Tables'!AI18,'Data Tables'!AJ18),IF($Y$23="800-850",IF($Y$24="Yes",'Data Tables'!AI18,'Data Tables'!AJ18),IF($Y$24="Yes",'Data Tables'!AI18,'Data Tables'!AJ18))))))))))))),(IF($Y$22="Freely draining",IF($Y$23="550-575",IF($Y$24="Yes",'Data Tables'!S29,'Data Tables'!T29),IF($Y$23="575-600",IF($Y$24="Yes",'Data Tables'!S29,'Data Tables'!T29),IF($Y$23="600-625",IF($Y$24="Yes",'Data Tables'!Y29,'Data Tables'!Z29),IF($Y$23="625-650",IF($Y$24="Yes",'Data Tables'!Y29,'Data Tables'!Z29),IF($Y$23="650-675",IF($Y$24="Yes",'Data Tables'!Y29,'Data Tables'!Z29),IF($Y$23="675-700",IF($Y$24="Yes",'Data Tables'!Y29,'Data Tables'!Z29),IF($Y$23="700-750",IF($Y$24="Yes",'Data Tables'!AE29,'Data Tables'!AF29),IF($Y$23="750-800",IF($Y$24="Yes",'Data Tables'!AE29,'Data Tables'!AF29),IF($Y$23="800-850",IF($Y$24="Yes",'Data Tables'!AE29,'Data Tables'!AF29),IF($Y$24="Yes",'Data Tables'!AE29,'Data Tables'!AF29)))))))))),IF($Y$22="Impermeable - drained for arable",IF($Y$23="550-575",IF($Y$24="Yes",'Data Tables'!U29,'Data Tables'!V29),IF($Y$23="575-600",IF($Y$24="Yes",'Data Tables'!U29,'Data Tables'!V29),IF($Y$23="600-625",IF($Y$24="Yes",'Data Tables'!AA29,'Data Tables'!AB29),IF($Y$23="625-650",IF($Y$24="Yes",'Data Tables'!AA29,'Data Tables'!AB29),IF($Y$23="650-675",IF($Y$24="Yes",'Data Tables'!AA29,'Data Tables'!AB29),IF($Y$23="675-700",IF($Y$24="Yes",'Data Tables'!AA29,'Data Tables'!AB29),IF($Y$23="700-750",IF($Y$24="Yes",'Data Tables'!AG29,'Data Tables'!AH29),IF($Y$23="750-800",IF($Y$24="Yes",'Data Tables'!AG29,'Data Tables'!AH29),IF($Y$23="800-850",IF($Y$24="Yes",'Data Tables'!AG29,'Data Tables'!AH29),IF($Y$24="Yes",'Data Tables'!AG29,'Data Tables'!AH29)))))))))),IF($Y$23="550-575",IF($Y$24="Yes",'Data Tables'!W29,'Data Tables'!X29),IF($Y$23="575-600",IF($Y$24="Yes",'Data Tables'!W29,'Data Tables'!X29),IF($Y$23="600-625",IF($Y$24="Yes",'Data Tables'!AC29,'Data Tables'!AD29),IF($Y$23="625-650",IF($Y$24="Yes",'Data Tables'!AC29,'Data Tables'!AD29),IF($Y$23="650-675",IF($Y$24="Yes",'Data Tables'!AC29,'Data Tables'!AD29),IF($Y$23="675-700",IF($Y$24="Yes",'Data Tables'!AC29,'Data Tables'!AD29),IF($Y$23="700-750",IF($Y$24="Yes",'Data Tables'!AI29,'Data Tables'!AJ29),IF($Y$23="750-800",IF($Y$24="Yes",'Data Tables'!AI29,'Data Tables'!AJ29),IF($Y$23="800-850",IF($Y$24="Yes",'Data Tables'!AI29,'Data Tables'!AJ29),IF($Y$24="Yes",'Data Tables'!AI29,'Data Tables'!AJ29))))))))))))))),0),"")</f>
        <v/>
      </c>
      <c r="AB34" s="285" t="str">
        <f>IF($Y$16="Yes",IF($Y34="Yes",IF($Y$21="Wensum",(IF($Y$22="Freely draining",IF($Y$23="550-575",IF($Y$24="Yes",'Data Tables'!AM7,'Data Tables'!AN7),IF($Y$23="575-600",IF($Y$24="Yes",'Data Tables'!AM7,'Data Tables'!AN7),IF($Y$23="600-625",IF($Y$24="Yes",'Data Tables'!AM7,'Data Tables'!AN7),IF($Y$23="625-650",IF($Y$24="Yes",'Data Tables'!AM7,'Data Tables'!AN7),IF($Y$23="650-675",IF($Y$24="Yes",'Data Tables'!AM7,'Data Tables'!AN7),IF($Y$23="675-700",IF($Y$24="Yes",'Data Tables'!AM7,'Data Tables'!AN7),IF($Y$23="700-750",IF($Y$24="Yes",'Data Tables'!AS7,'Data Tables'!AT7),IF($Y$23="750-800",IF($Y$24="Yes",'Data Tables'!AS7,'Data Tables'!AT7),IF($Y$23="800-850",IF($Y$24="Yes",'Data Tables'!AS7,'Data Tables'!AT7),IF($Y$24="Yes",'Data Tables'!AS7,'Data Tables'!AT7)))))))))),IF($Y$22="Impermeable - drained for arable",IF($Y$23="550-575",IF($Y$24="Yes",'Data Tables'!AO7,'Data Tables'!AP7),IF($Y$23="575-600",IF($Y$24="Yes",'Data Tables'!AO7,'Data Tables'!AP7),IF($Y$23="600-625",IF($Y$24="Yes",'Data Tables'!AO7,'Data Tables'!AP7),IF($Y$23="625-650",IF($Y$24="Yes",'Data Tables'!AO7,'Data Tables'!AP7),IF($Y$23="650-675",IF($Y$24="Yes",'Data Tables'!AO7,'Data Tables'!AP7),IF($Y$23="675-700",IF($Y$24="Yes",'Data Tables'!AO7,'Data Tables'!AP7),IF($Y$23="700-750",IF($Y$24="Yes",'Data Tables'!AU7,'Data Tables'!AV7),IF($Y$23="750-800",IF($Y$24="Yes",'Data Tables'!AU7,'Data Tables'!AV7),IF($Y$23="800-850",IF($Y$24="Yes",'Data Tables'!AU7,'Data Tables'!AV7),IF($Y$24="Yes",'Data Tables'!AU7,'Data Tables'!AV7)))))))))),IF($Y$23="550-575",IF($Y$24="Yes",'Data Tables'!AQ7,'Data Tables'!AR7),IF($Y$23="575-600",IF($Y$24="Yes",'Data Tables'!AQ7,'Data Tables'!AR7),IF($Y$23="600-625",IF($Y$24="Yes",'Data Tables'!AQ7,'Data Tables'!AR7),IF($Y$23="625-650",IF($Y$24="Yes",'Data Tables'!AQ7,'Data Tables'!AR7),IF($Y$23="650-675",IF($Y$24="Yes",'Data Tables'!AQ7,'Data Tables'!AR7),IF($Y$23="675-700",IF($Y$24="Yes",'Data Tables'!AQ7,'Data Tables'!AR7),IF($Y$23="700-750",IF($Y$24="Yes",'Data Tables'!AW7,'Data Tables'!AX7),IF($Y$23="750-800",IF($Y$24="Yes",'Data Tables'!AW7,'Data Tables'!AX7),IF($Y$23="800-850",IF($Y$24="Yes",'Data Tables'!AW7,'Data Tables'!AX7),IF($Y$24="Yes",'Data Tables'!AW7,'Data Tables'!AX7))))))))))))),IF($Y$21="Yare",(IF($Y$22="Freely draining",IF($Y$23="550-575",IF($Y$24="Yes",'Data Tables'!AM18,'Data Tables'!AN18),IF($Y$23="575-600",IF($Y$24="Yes",'Data Tables'!AM18,'Data Tables'!AN18),IF($Y$23="600-625",IF($Y$24="Yes",'Data Tables'!AM18,'Data Tables'!AN18),IF($Y$23="625-650",IF($Y$24="Yes",'Data Tables'!AM18,'Data Tables'!AN18),IF($Y$23="650-675",IF($Y$24="Yes",'Data Tables'!AM18,'Data Tables'!AN18),IF($Y$23="675-700",IF($Y$24="Yes",'Data Tables'!AM18,'Data Tables'!AN18),IF($Y$23="700-750",IF($Y$24="Yes",'Data Tables'!AS18,'Data Tables'!AT18),IF($Y$23="750-800",IF($Y$24="Yes",'Data Tables'!AS18,'Data Tables'!AT18),IF($Y$23="800-850",IF($Y$24="Yes",'Data Tables'!AS18,'Data Tables'!AT18),IF($Y$24="Yes",'Data Tables'!AS18,'Data Tables'!AT18)))))))))),IF($Y$22="Impermeable - drained for arable",IF($Y$23="550-575",IF($Y$24="Yes",'Data Tables'!AO18,'Data Tables'!AP18),IF($Y$23="575-600",IF($Y$24="Yes",'Data Tables'!AO18,'Data Tables'!AP18),IF($Y$23="600-625",IF($Y$24="Yes",'Data Tables'!AO18,'Data Tables'!AP18),IF($Y$23="625-650",IF($Y$24="Yes",'Data Tables'!AO18,'Data Tables'!AP18),IF($Y$23="650-675",IF($Y$24="Yes",'Data Tables'!AO18,'Data Tables'!AP18),IF($Y$23="675-700",IF($Y$24="Yes",'Data Tables'!AO18,'Data Tables'!AP18),IF($Y$23="700-750",IF($Y$24="Yes",'Data Tables'!AU18,'Data Tables'!AV18),IF($Y$23="750-800",IF($Y$24="Yes",'Data Tables'!AU18,'Data Tables'!AV18),IF($Y$23="800-850",IF($Y$24="Yes",'Data Tables'!AU18,'Data Tables'!AV18),IF($Y$24="Yes",'Data Tables'!AU18,'Data Tables'!AV18)))))))))),IF($Y$23="550-575",IF($Y$24="Yes",'Data Tables'!AQ18,'Data Tables'!AR18),IF($Y$23="575-600",IF($Y$24="Yes",'Data Tables'!AQ18,'Data Tables'!AR18),IF($Y$23="600-625",IF($Y$24="Yes",'Data Tables'!AQ18,'Data Tables'!AR18),IF($Y$23="625-650",IF($Y$24="Yes",'Data Tables'!AQ18,'Data Tables'!AR18),IF($Y$23="650-675",IF($Y$24="Yes",'Data Tables'!AQ18,'Data Tables'!AR18),IF($Y$23="675-700",IF($Y$24="Yes",'Data Tables'!AQ18,'Data Tables'!AR18),IF($Y$23="700-750",IF($Y$24="Yes",'Data Tables'!AW18,'Data Tables'!AX18),IF($Y$23="750-800",IF($Y$24="Yes",'Data Tables'!AW18,'Data Tables'!AX18),IF($Y$23="800-850",IF($Y$24="Yes",'Data Tables'!AW18,'Data Tables'!AX18),IF($Y$24="Yes",'Data Tables'!AW18,'Data Tables'!AX18))))))))))))),(IF($Y$22="Freely draining",IF($Y$23="550-575",IF($Y$24="Yes",'Data Tables'!AG29,'Data Tables'!AH29),IF($Y$23="575-600",IF($Y$24="Yes",'Data Tables'!AG29,'Data Tables'!AH29),IF($Y$23="600-625",IF($Y$24="Yes",'Data Tables'!AM29,'Data Tables'!AN29),IF($Y$23="625-650",IF($Y$24="Yes",'Data Tables'!AM29,'Data Tables'!AN29),IF($Y$23="650-675",IF($Y$24="Yes",'Data Tables'!AM29,'Data Tables'!AN29),IF($Y$23="675-700",IF($Y$24="Yes",'Data Tables'!AM29,'Data Tables'!AN29),IF($Y$23="700-750",IF($Y$24="Yes",'Data Tables'!AS29,'Data Tables'!AT29),IF($Y$23="750-800",IF($Y$24="Yes",'Data Tables'!AS29,'Data Tables'!AT29),IF($Y$23="800-850",IF($Y$24="Yes",'Data Tables'!AS29,'Data Tables'!AT29),IF($Y$24="Yes",'Data Tables'!AS29,'Data Tables'!AT29)))))))))),IF($Y$22="Impermeable - drained for arable",IF($Y$23="550-575",IF($Y$24="Yes",'Data Tables'!AI29,'Data Tables'!AJ29),IF($Y$23="575-600",IF($Y$24="Yes",'Data Tables'!AI29,'Data Tables'!AJ29),IF($Y$23="600-625",IF($Y$24="Yes",'Data Tables'!AO29,'Data Tables'!AP29),IF($Y$23="625-650",IF($Y$24="Yes",'Data Tables'!AO29,'Data Tables'!AP29),IF($Y$23="650-675",IF($Y$24="Yes",'Data Tables'!AO29,'Data Tables'!AP29),IF($Y$23="675-700",IF($Y$24="Yes",'Data Tables'!AO29,'Data Tables'!AP29),IF($Y$23="700-750",IF($Y$24="Yes",'Data Tables'!AU29,'Data Tables'!AV29),IF($Y$23="750-800",IF($Y$24="Yes",'Data Tables'!AU29,'Data Tables'!AV29),IF($Y$23="800-850",IF($Y$24="Yes",'Data Tables'!AU29,'Data Tables'!AV29),IF($Y$24="Yes",'Data Tables'!AU29,'Data Tables'!AV29)))))))))),IF($Y$23="550-575",IF($Y$24="Yes",'Data Tables'!AK29,'Data Tables'!AL29),IF($Y$23="575-600",IF($Y$24="Yes",'Data Tables'!AK29,'Data Tables'!AL29),IF($Y$23="600-625",IF($Y$24="Yes",'Data Tables'!AQ29,'Data Tables'!AR29),IF($Y$23="625-650",IF($Y$24="Yes",'Data Tables'!AQ29,'Data Tables'!AR29),IF($Y$23="650-675",IF($Y$24="Yes",'Data Tables'!AQ29,'Data Tables'!AR29),IF($Y$23="675-700",IF($Y$24="Yes",'Data Tables'!AQ29,'Data Tables'!AR29),IF($Y$23="700-750",IF($Y$24="Yes",'Data Tables'!AW29,'Data Tables'!AX29),IF($Y$23="750-800",IF($Y$24="Yes",'Data Tables'!AW29,'Data Tables'!AX29),IF($Y$23="800-850",IF($Y$24="Yes",'Data Tables'!AW29,'Data Tables'!AX29),IF($Y$24="Yes",'Data Tables'!AW29,'Data Tables'!AX29))))))))))))))),0),"")</f>
        <v/>
      </c>
      <c r="AC34" s="313"/>
      <c r="AF34" s="94"/>
      <c r="AG34" s="94"/>
      <c r="AH34" s="94"/>
      <c r="AI34" s="94"/>
      <c r="AJ34" s="94"/>
      <c r="AK34" s="94"/>
      <c r="AL34" s="94"/>
      <c r="AM34" s="94"/>
      <c r="AN34" s="94"/>
      <c r="AO34" s="94"/>
      <c r="AP34" s="94"/>
      <c r="AQ34" s="94"/>
      <c r="AR34" s="94"/>
      <c r="AT34" s="94"/>
      <c r="AU34" s="94"/>
      <c r="AV34" s="94"/>
      <c r="AW34" s="94"/>
      <c r="AX34" s="94"/>
      <c r="AY34" s="94"/>
      <c r="AZ34" s="94"/>
      <c r="BA34" s="94"/>
    </row>
    <row r="35" spans="2:53" ht="15.95" customHeight="1" x14ac:dyDescent="0.25">
      <c r="B35" s="46"/>
      <c r="C35" s="42"/>
      <c r="D35" s="227"/>
      <c r="E35" s="432" t="str">
        <f>'Stage 2'!F30</f>
        <v>Poultry</v>
      </c>
      <c r="F35" s="432"/>
      <c r="G35" s="432"/>
      <c r="H35" s="432"/>
      <c r="I35" s="432"/>
      <c r="J35" s="49"/>
      <c r="K35" s="315" t="str">
        <f>IF('Stage 2'!$K30&gt;0,'Stage 2'!O30/'Stage 2'!$K30,"")</f>
        <v/>
      </c>
      <c r="L35" s="230"/>
      <c r="M35" s="273" t="str">
        <f>IF('Stage 2'!$K30&gt;0,'Stage 2'!Q30/'Stage 2'!$K30,"")</f>
        <v/>
      </c>
      <c r="N35" s="238" t="s">
        <v>62</v>
      </c>
      <c r="O35" s="240" t="s">
        <v>81</v>
      </c>
      <c r="P35" s="258"/>
      <c r="Q35" s="49"/>
      <c r="R35" s="49"/>
      <c r="S35" s="49"/>
      <c r="T35" s="432" t="str">
        <f t="shared" si="0"/>
        <v>Poultry</v>
      </c>
      <c r="U35" s="432"/>
      <c r="V35" s="432"/>
      <c r="W35" s="432"/>
      <c r="X35" s="432"/>
      <c r="Y35" s="238" t="s">
        <v>62</v>
      </c>
      <c r="Z35" s="49"/>
      <c r="AA35" s="285" t="str">
        <f>IF($Y$16="Yes",IF($Y35="Yes",IF($Y$21="Wensum",(IF($Y$22="Freely draining",IF($Y$23="550-575",IF($Y$24="Yes",'Data Tables'!Y8,'Data Tables'!Z8),IF($Y$23="575-600",IF($Y$24="Yes",'Data Tables'!Y8,'Data Tables'!Z8),IF($Y$23="600-625",IF($Y$24="Yes",'Data Tables'!Y8,'Data Tables'!Z8),IF($Y$23="625-650",IF($Y$24="Yes",'Data Tables'!Y8,'Data Tables'!Z8),IF($Y$23="650-675",IF($Y$24="Yes",'Data Tables'!Y8,'Data Tables'!Z8),IF($Y$23="675-700",IF($Y$24="Yes",'Data Tables'!Y8,'Data Tables'!Z8),IF($Y$23="700-750",IF($Y$24="Yes",'Data Tables'!AE8,'Data Tables'!AF8),IF($Y$23="750-800",IF($Y$24="Yes",'Data Tables'!AE8,'Data Tables'!AF8),IF($Y$23="800-850",IF($Y$24="Yes",'Data Tables'!AE8,'Data Tables'!AF8),IF($Y$24="Yes",'Data Tables'!AE8,'Data Tables'!AF8)))))))))),IF($Y$22="Impermeable - drained for arable",IF($Y$23="550-575",IF($Y$24="Yes",'Data Tables'!AA8,'Data Tables'!AB8),IF($Y$23="575-600",IF($Y$24="Yes",'Data Tables'!AA8,'Data Tables'!AB8),IF($Y$23="600-625",IF($Y$24="Yes",'Data Tables'!AA8,'Data Tables'!AB8),IF($Y$23="625-650",IF($Y$24="Yes",'Data Tables'!AA8,'Data Tables'!AB8),IF($Y$23="650-675",IF($Y$24="Yes",'Data Tables'!AA8,'Data Tables'!AB8),IF($Y$23="675-700",IF($Y$24="Yes",'Data Tables'!AA8,'Data Tables'!AB8),IF($Y$23="700-750",IF($Y$24="Yes",'Data Tables'!AG8,'Data Tables'!AH8),IF($Y$23="750-800",IF($Y$24="Yes",'Data Tables'!AG8,'Data Tables'!AH8),IF($Y$23="800-850",IF($Y$24="Yes",'Data Tables'!AG8,'Data Tables'!AH8),IF($Y$24="Yes",'Data Tables'!AG8,'Data Tables'!AH8)))))))))),IF($Y$23="550-575",IF($Y$24="Yes",'Data Tables'!AC8,'Data Tables'!AD8),IF($Y$23="575-600",IF($Y$24="Yes",'Data Tables'!AC8,'Data Tables'!AD8),IF($Y$23="600-625",IF($Y$24="Yes",'Data Tables'!AC8,'Data Tables'!AD8),IF($Y$23="625-650",IF($Y$24="Yes",'Data Tables'!AC8,'Data Tables'!AD8),IF($Y$23="650-675",IF($Y$24="Yes",'Data Tables'!AC8,'Data Tables'!AD8),IF($Y$23="675-700",IF($Y$24="Yes",'Data Tables'!AC8,'Data Tables'!AD8),IF($Y$23="700-750",IF($Y$24="Yes",'Data Tables'!AI8,'Data Tables'!AJ8),IF($Y$23="750-800",IF($Y$24="Yes",'Data Tables'!AI8,'Data Tables'!AJ8),IF($Y$23="800-850",IF($Y$24="Yes",'Data Tables'!AI8,'Data Tables'!AJ8),IF($Y$24="Yes",'Data Tables'!AI8,'Data Tables'!AJ8))))))))))))),IF($Y$21="Yare",(IF($Y$22="Freely draining",IF($Y$23="550-575",IF($Y$24="Yes",'Data Tables'!Y19,'Data Tables'!Z19),IF($Y$23="575-600",IF($Y$24="Yes",'Data Tables'!Y19,'Data Tables'!Z19),IF($Y$23="600-625",IF($Y$24="Yes",'Data Tables'!Y19,'Data Tables'!Z19),IF($Y$23="625-650",IF($Y$24="Yes",'Data Tables'!Y19,'Data Tables'!Z19),IF($Y$23="650-675",IF($Y$24="Yes",'Data Tables'!Y19,'Data Tables'!Z19),IF($Y$23="675-700",IF($Y$24="Yes",'Data Tables'!Y19,'Data Tables'!Z19),IF($Y$23="700-750",IF($Y$24="Yes",'Data Tables'!AE19,'Data Tables'!AF19),IF($Y$23="750-800",IF($Y$24="Yes",'Data Tables'!AE19,'Data Tables'!AF19),IF($Y$23="800-850",IF($Y$24="Yes",'Data Tables'!AE19,'Data Tables'!AF19),IF($Y$24="Yes",'Data Tables'!AE19,'Data Tables'!AF19)))))))))),IF($Y$22="Impermeable - drained for arable",IF($Y$23="550-575",IF($Y$24="Yes",'Data Tables'!AA19,'Data Tables'!AB19),IF($Y$23="575-600",IF($Y$24="Yes",'Data Tables'!AA19,'Data Tables'!AB19),IF($Y$23="600-625",IF($Y$24="Yes",'Data Tables'!AA19,'Data Tables'!AB19),IF($Y$23="625-650",IF($Y$24="Yes",'Data Tables'!AA19,'Data Tables'!AB19),IF($Y$23="650-675",IF($Y$24="Yes",'Data Tables'!AA19,'Data Tables'!AB19),IF($Y$23="675-700",IF($Y$24="Yes",'Data Tables'!AA19,'Data Tables'!AB19),IF($Y$23="700-750",IF($Y$24="Yes",'Data Tables'!AG19,'Data Tables'!AH19),IF($Y$23="750-800",IF($Y$24="Yes",'Data Tables'!AG19,'Data Tables'!AH19),IF($Y$23="800-850",IF($Y$24="Yes",'Data Tables'!AG19,'Data Tables'!AH19),IF($Y$24="Yes",'Data Tables'!AG19,'Data Tables'!AH19)))))))))),IF($Y$23="550-575",IF($Y$24="Yes",'Data Tables'!AC19,'Data Tables'!AD19),IF($Y$23="575-600",IF($Y$24="Yes",'Data Tables'!AC19,'Data Tables'!AD19),IF($Y$23="600-625",IF($Y$24="Yes",'Data Tables'!AC19,'Data Tables'!AD19),IF($Y$23="625-650",IF($Y$24="Yes",'Data Tables'!AC19,'Data Tables'!AD19),IF($Y$23="650-675",IF($Y$24="Yes",'Data Tables'!AC19,'Data Tables'!AD19),IF($Y$23="675-700",IF($Y$24="Yes",'Data Tables'!AC19,'Data Tables'!AD19),IF($Y$23="700-750",IF($Y$24="Yes",'Data Tables'!AI19,'Data Tables'!AJ19),IF($Y$23="750-800",IF($Y$24="Yes",'Data Tables'!AI19,'Data Tables'!AJ19),IF($Y$23="800-850",IF($Y$24="Yes",'Data Tables'!AI19,'Data Tables'!AJ19),IF($Y$24="Yes",'Data Tables'!AI19,'Data Tables'!AJ19))))))))))))),(IF($Y$22="Freely draining",IF($Y$23="550-575",IF($Y$24="Yes",'Data Tables'!S30,'Data Tables'!T30),IF($Y$23="575-600",IF($Y$24="Yes",'Data Tables'!S30,'Data Tables'!T30),IF($Y$23="600-625",IF($Y$24="Yes",'Data Tables'!Y30,'Data Tables'!Z30),IF($Y$23="625-650",IF($Y$24="Yes",'Data Tables'!Y30,'Data Tables'!Z30),IF($Y$23="650-675",IF($Y$24="Yes",'Data Tables'!Y30,'Data Tables'!Z30),IF($Y$23="675-700",IF($Y$24="Yes",'Data Tables'!Y30,'Data Tables'!Z30),IF($Y$23="700-750",IF($Y$24="Yes",'Data Tables'!AE30,'Data Tables'!AF30),IF($Y$23="750-800",IF($Y$24="Yes",'Data Tables'!AE30,'Data Tables'!AF30),IF($Y$23="800-850",IF($Y$24="Yes",'Data Tables'!AE30,'Data Tables'!AF30),IF($Y$24="Yes",'Data Tables'!AE30,'Data Tables'!AF30)))))))))),IF($Y$22="Impermeable - drained for arable",IF($Y$23="550-575",IF($Y$24="Yes",'Data Tables'!U30,'Data Tables'!V30),IF($Y$23="575-600",IF($Y$24="Yes",'Data Tables'!U30,'Data Tables'!V30),IF($Y$23="600-625",IF($Y$24="Yes",'Data Tables'!AA30,'Data Tables'!AB30),IF($Y$23="625-650",IF($Y$24="Yes",'Data Tables'!AA30,'Data Tables'!AB30),IF($Y$23="650-675",IF($Y$24="Yes",'Data Tables'!AA30,'Data Tables'!AB30),IF($Y$23="675-700",IF($Y$24="Yes",'Data Tables'!AA30,'Data Tables'!AB30),IF($Y$23="700-750",IF($Y$24="Yes",'Data Tables'!AG30,'Data Tables'!AH30),IF($Y$23="750-800",IF($Y$24="Yes",'Data Tables'!AG30,'Data Tables'!AH30),IF($Y$23="800-850",IF($Y$24="Yes",'Data Tables'!AG30,'Data Tables'!AH30),IF($Y$24="Yes",'Data Tables'!AG30,'Data Tables'!AH30)))))))))),IF($Y$23="550-575",IF($Y$24="Yes",'Data Tables'!W30,'Data Tables'!X30),IF($Y$23="575-600",IF($Y$24="Yes",'Data Tables'!W30,'Data Tables'!X30),IF($Y$23="600-625",IF($Y$24="Yes",'Data Tables'!AC30,'Data Tables'!AD30),IF($Y$23="625-650",IF($Y$24="Yes",'Data Tables'!AC30,'Data Tables'!AD30),IF($Y$23="650-675",IF($Y$24="Yes",'Data Tables'!AC30,'Data Tables'!AD30),IF($Y$23="675-700",IF($Y$24="Yes",'Data Tables'!AC30,'Data Tables'!AD30),IF($Y$23="700-750",IF($Y$24="Yes",'Data Tables'!AI30,'Data Tables'!AJ30),IF($Y$23="750-800",IF($Y$24="Yes",'Data Tables'!AI30,'Data Tables'!AJ30),IF($Y$23="800-850",IF($Y$24="Yes",'Data Tables'!AI30,'Data Tables'!AJ30),IF($Y$24="Yes",'Data Tables'!AI30,'Data Tables'!AJ30))))))))))))))),0),"")</f>
        <v/>
      </c>
      <c r="AB35" s="285" t="str">
        <f>IF($Y$16="Yes",IF($Y35="Yes",IF($Y$21="Wensum",(IF($Y$22="Freely draining",IF($Y$23="550-575",IF($Y$24="Yes",'Data Tables'!AM8,'Data Tables'!AN8),IF($Y$23="575-600",IF($Y$24="Yes",'Data Tables'!AM8,'Data Tables'!AN8),IF($Y$23="600-625",IF($Y$24="Yes",'Data Tables'!AM8,'Data Tables'!AN8),IF($Y$23="625-650",IF($Y$24="Yes",'Data Tables'!AM8,'Data Tables'!AN8),IF($Y$23="650-675",IF($Y$24="Yes",'Data Tables'!AM8,'Data Tables'!AN8),IF($Y$23="675-700",IF($Y$24="Yes",'Data Tables'!AM8,'Data Tables'!AN8),IF($Y$23="700-750",IF($Y$24="Yes",'Data Tables'!AS8,'Data Tables'!AT8),IF($Y$23="750-800",IF($Y$24="Yes",'Data Tables'!AS8,'Data Tables'!AT8),IF($Y$23="800-850",IF($Y$24="Yes",'Data Tables'!AS8,'Data Tables'!AT8),IF($Y$24="Yes",'Data Tables'!AS8,'Data Tables'!AT8)))))))))),IF($Y$22="Impermeable - drained for arable",IF($Y$23="550-575",IF($Y$24="Yes",'Data Tables'!AO8,'Data Tables'!AP8),IF($Y$23="575-600",IF($Y$24="Yes",'Data Tables'!AO8,'Data Tables'!AP8),IF($Y$23="600-625",IF($Y$24="Yes",'Data Tables'!AO8,'Data Tables'!AP8),IF($Y$23="625-650",IF($Y$24="Yes",'Data Tables'!AO8,'Data Tables'!AP8),IF($Y$23="650-675",IF($Y$24="Yes",'Data Tables'!AO8,'Data Tables'!AP8),IF($Y$23="675-700",IF($Y$24="Yes",'Data Tables'!AO8,'Data Tables'!AP8),IF($Y$23="700-750",IF($Y$24="Yes",'Data Tables'!AU8,'Data Tables'!AV8),IF($Y$23="750-800",IF($Y$24="Yes",'Data Tables'!AU8,'Data Tables'!AV8),IF($Y$23="800-850",IF($Y$24="Yes",'Data Tables'!AU8,'Data Tables'!AV8),IF($Y$24="Yes",'Data Tables'!AU8,'Data Tables'!AV8)))))))))),IF($Y$23="550-575",IF($Y$24="Yes",'Data Tables'!AQ8,'Data Tables'!AR8),IF($Y$23="575-600",IF($Y$24="Yes",'Data Tables'!AQ8,'Data Tables'!AR8),IF($Y$23="600-625",IF($Y$24="Yes",'Data Tables'!AQ8,'Data Tables'!AR8),IF($Y$23="625-650",IF($Y$24="Yes",'Data Tables'!AQ8,'Data Tables'!AR8),IF($Y$23="650-675",IF($Y$24="Yes",'Data Tables'!AQ8,'Data Tables'!AR8),IF($Y$23="675-700",IF($Y$24="Yes",'Data Tables'!AQ8,'Data Tables'!AR8),IF($Y$23="700-750",IF($Y$24="Yes",'Data Tables'!AW8,'Data Tables'!AX8),IF($Y$23="750-800",IF($Y$24="Yes",'Data Tables'!AW8,'Data Tables'!AX8),IF($Y$23="800-850",IF($Y$24="Yes",'Data Tables'!AW8,'Data Tables'!AX8),IF($Y$24="Yes",'Data Tables'!AW8,'Data Tables'!AX8))))))))))))),IF($Y$21="Yare",(IF($Y$22="Freely draining",IF($Y$23="550-575",IF($Y$24="Yes",'Data Tables'!AM19,'Data Tables'!AN19),IF($Y$23="575-600",IF($Y$24="Yes",'Data Tables'!AM19,'Data Tables'!AN19),IF($Y$23="600-625",IF($Y$24="Yes",'Data Tables'!AM19,'Data Tables'!AN19),IF($Y$23="625-650",IF($Y$24="Yes",'Data Tables'!AM19,'Data Tables'!AN19),IF($Y$23="650-675",IF($Y$24="Yes",'Data Tables'!AM19,'Data Tables'!AN19),IF($Y$23="675-700",IF($Y$24="Yes",'Data Tables'!AM19,'Data Tables'!AN19),IF($Y$23="700-750",IF($Y$24="Yes",'Data Tables'!AS19,'Data Tables'!AT19),IF($Y$23="750-800",IF($Y$24="Yes",'Data Tables'!AS19,'Data Tables'!AT19),IF($Y$23="800-850",IF($Y$24="Yes",'Data Tables'!AS19,'Data Tables'!AT19),IF($Y$24="Yes",'Data Tables'!AS19,'Data Tables'!AT19)))))))))),IF($Y$22="Impermeable - drained for arable",IF($Y$23="550-575",IF($Y$24="Yes",'Data Tables'!AO19,'Data Tables'!AP19),IF($Y$23="575-600",IF($Y$24="Yes",'Data Tables'!AO19,'Data Tables'!AP19),IF($Y$23="600-625",IF($Y$24="Yes",'Data Tables'!AO19,'Data Tables'!AP19),IF($Y$23="625-650",IF($Y$24="Yes",'Data Tables'!AO19,'Data Tables'!AP19),IF($Y$23="650-675",IF($Y$24="Yes",'Data Tables'!AO19,'Data Tables'!AP19),IF($Y$23="675-700",IF($Y$24="Yes",'Data Tables'!AO19,'Data Tables'!AP19),IF($Y$23="700-750",IF($Y$24="Yes",'Data Tables'!AU19,'Data Tables'!AV19),IF($Y$23="750-800",IF($Y$24="Yes",'Data Tables'!AU19,'Data Tables'!AV19),IF($Y$23="800-850",IF($Y$24="Yes",'Data Tables'!AU19,'Data Tables'!AV19),IF($Y$24="Yes",'Data Tables'!AU19,'Data Tables'!AV19)))))))))),IF($Y$23="550-575",IF($Y$24="Yes",'Data Tables'!AQ19,'Data Tables'!AR19),IF($Y$23="575-600",IF($Y$24="Yes",'Data Tables'!AQ19,'Data Tables'!AR19),IF($Y$23="600-625",IF($Y$24="Yes",'Data Tables'!AQ19,'Data Tables'!AR19),IF($Y$23="625-650",IF($Y$24="Yes",'Data Tables'!AQ19,'Data Tables'!AR19),IF($Y$23="650-675",IF($Y$24="Yes",'Data Tables'!AQ19,'Data Tables'!AR19),IF($Y$23="675-700",IF($Y$24="Yes",'Data Tables'!AQ19,'Data Tables'!AR19),IF($Y$23="700-750",IF($Y$24="Yes",'Data Tables'!AW19,'Data Tables'!AX19),IF($Y$23="750-800",IF($Y$24="Yes",'Data Tables'!AW19,'Data Tables'!AX19),IF($Y$23="800-850",IF($Y$24="Yes",'Data Tables'!AW19,'Data Tables'!AX19),IF($Y$24="Yes",'Data Tables'!AW19,'Data Tables'!AX19))))))))))))),(IF($Y$22="Freely draining",IF($Y$23="550-575",IF($Y$24="Yes",'Data Tables'!AG30,'Data Tables'!AH30),IF($Y$23="575-600",IF($Y$24="Yes",'Data Tables'!AG30,'Data Tables'!AH30),IF($Y$23="600-625",IF($Y$24="Yes",'Data Tables'!AM30,'Data Tables'!AN30),IF($Y$23="625-650",IF($Y$24="Yes",'Data Tables'!AM30,'Data Tables'!AN30),IF($Y$23="650-675",IF($Y$24="Yes",'Data Tables'!AM30,'Data Tables'!AN30),IF($Y$23="675-700",IF($Y$24="Yes",'Data Tables'!AM30,'Data Tables'!AN30),IF($Y$23="700-750",IF($Y$24="Yes",'Data Tables'!AS30,'Data Tables'!AT30),IF($Y$23="750-800",IF($Y$24="Yes",'Data Tables'!AS30,'Data Tables'!AT30),IF($Y$23="800-850",IF($Y$24="Yes",'Data Tables'!AS30,'Data Tables'!AT30),IF($Y$24="Yes",'Data Tables'!AS30,'Data Tables'!AT30)))))))))),IF($Y$22="Impermeable - drained for arable",IF($Y$23="550-575",IF($Y$24="Yes",'Data Tables'!AI30,'Data Tables'!AJ30),IF($Y$23="575-600",IF($Y$24="Yes",'Data Tables'!AI30,'Data Tables'!AJ30),IF($Y$23="600-625",IF($Y$24="Yes",'Data Tables'!AO30,'Data Tables'!AP30),IF($Y$23="625-650",IF($Y$24="Yes",'Data Tables'!AO30,'Data Tables'!AP30),IF($Y$23="650-675",IF($Y$24="Yes",'Data Tables'!AO30,'Data Tables'!AP30),IF($Y$23="675-700",IF($Y$24="Yes",'Data Tables'!AO30,'Data Tables'!AP30),IF($Y$23="700-750",IF($Y$24="Yes",'Data Tables'!AU30,'Data Tables'!AV30),IF($Y$23="750-800",IF($Y$24="Yes",'Data Tables'!AU30,'Data Tables'!AV30),IF($Y$23="800-850",IF($Y$24="Yes",'Data Tables'!AU30,'Data Tables'!AV30),IF($Y$24="Yes",'Data Tables'!AU30,'Data Tables'!AV30)))))))))),IF($Y$23="550-575",IF($Y$24="Yes",'Data Tables'!AK30,'Data Tables'!AL30),IF($Y$23="575-600",IF($Y$24="Yes",'Data Tables'!AK30,'Data Tables'!AL30),IF($Y$23="600-625",IF($Y$24="Yes",'Data Tables'!AQ30,'Data Tables'!AR30),IF($Y$23="625-650",IF($Y$24="Yes",'Data Tables'!AQ30,'Data Tables'!AR30),IF($Y$23="650-675",IF($Y$24="Yes",'Data Tables'!AQ30,'Data Tables'!AR30),IF($Y$23="675-700",IF($Y$24="Yes",'Data Tables'!AQ30,'Data Tables'!AR30),IF($Y$23="700-750",IF($Y$24="Yes",'Data Tables'!AW30,'Data Tables'!AX30),IF($Y$23="750-800",IF($Y$24="Yes",'Data Tables'!AW30,'Data Tables'!AX30),IF($Y$23="800-850",IF($Y$24="Yes",'Data Tables'!AW30,'Data Tables'!AX30),IF($Y$24="Yes",'Data Tables'!AW30,'Data Tables'!AX30))))))))))))))),0),"")</f>
        <v/>
      </c>
      <c r="AC35" s="313"/>
      <c r="AF35" s="94"/>
      <c r="AG35" s="94"/>
      <c r="AH35" s="94"/>
      <c r="AI35" s="94"/>
      <c r="AJ35" s="94"/>
      <c r="AK35" s="94"/>
      <c r="AL35" s="94"/>
      <c r="AM35" s="94"/>
      <c r="AN35" s="94"/>
      <c r="AO35" s="94"/>
      <c r="AP35" s="94"/>
      <c r="AQ35" s="94"/>
      <c r="AR35" s="94"/>
      <c r="AT35" s="94"/>
      <c r="AU35" s="94"/>
      <c r="AV35" s="94"/>
      <c r="AW35" s="94"/>
      <c r="AX35" s="94"/>
      <c r="AY35" s="94"/>
      <c r="AZ35" s="94"/>
      <c r="BA35" s="94"/>
    </row>
    <row r="36" spans="2:53" ht="15.95" customHeight="1" x14ac:dyDescent="0.25">
      <c r="B36" s="46"/>
      <c r="C36" s="42"/>
      <c r="D36" s="227"/>
      <c r="E36" s="432" t="str">
        <f>'Stage 2'!F31</f>
        <v>Pigs</v>
      </c>
      <c r="F36" s="432"/>
      <c r="G36" s="432"/>
      <c r="H36" s="432"/>
      <c r="I36" s="432"/>
      <c r="J36" s="49"/>
      <c r="K36" s="315" t="str">
        <f>IF('Stage 2'!$K31&gt;0,'Stage 2'!O31/'Stage 2'!$K31,"")</f>
        <v/>
      </c>
      <c r="L36" s="230"/>
      <c r="M36" s="273" t="str">
        <f>IF('Stage 2'!$K31&gt;0,'Stage 2'!Q31/'Stage 2'!$K31,"")</f>
        <v/>
      </c>
      <c r="N36" s="238" t="s">
        <v>62</v>
      </c>
      <c r="O36" s="240" t="s">
        <v>81</v>
      </c>
      <c r="P36" s="258"/>
      <c r="Q36" s="49"/>
      <c r="R36" s="49"/>
      <c r="S36" s="49"/>
      <c r="T36" s="432" t="str">
        <f t="shared" si="0"/>
        <v>Pigs</v>
      </c>
      <c r="U36" s="432"/>
      <c r="V36" s="432"/>
      <c r="W36" s="432"/>
      <c r="X36" s="432"/>
      <c r="Y36" s="238" t="s">
        <v>62</v>
      </c>
      <c r="Z36" s="49"/>
      <c r="AA36" s="285" t="str">
        <f>IF($Y$16="Yes",IF($Y36="Yes",IF($Y$21="Wensum",(IF($Y$22="Freely draining",IF($Y$23="550-575",IF($Y$24="Yes",'Data Tables'!Y9,'Data Tables'!Z9),IF($Y$23="575-600",IF($Y$24="Yes",'Data Tables'!Y9,'Data Tables'!Z9),IF($Y$23="600-625",IF($Y$24="Yes",'Data Tables'!Y9,'Data Tables'!Z9),IF($Y$23="625-650",IF($Y$24="Yes",'Data Tables'!Y9,'Data Tables'!Z9),IF($Y$23="650-675",IF($Y$24="Yes",'Data Tables'!Y9,'Data Tables'!Z9),IF($Y$23="675-700",IF($Y$24="Yes",'Data Tables'!Y9,'Data Tables'!Z9),IF($Y$23="700-750",IF($Y$24="Yes",'Data Tables'!AE9,'Data Tables'!AF9),IF($Y$23="750-800",IF($Y$24="Yes",'Data Tables'!AE9,'Data Tables'!AF9),IF($Y$23="800-850",IF($Y$24="Yes",'Data Tables'!AE9,'Data Tables'!AF9),IF($Y$24="Yes",'Data Tables'!AE9,'Data Tables'!AF9)))))))))),IF($Y$22="Impermeable - drained for arable",IF($Y$23="550-575",IF($Y$24="Yes",'Data Tables'!AA9,'Data Tables'!AB9),IF($Y$23="575-600",IF($Y$24="Yes",'Data Tables'!AA9,'Data Tables'!AB9),IF($Y$23="600-625",IF($Y$24="Yes",'Data Tables'!AA9,'Data Tables'!AB9),IF($Y$23="625-650",IF($Y$24="Yes",'Data Tables'!AA9,'Data Tables'!AB9),IF($Y$23="650-675",IF($Y$24="Yes",'Data Tables'!AA9,'Data Tables'!AB9),IF($Y$23="675-700",IF($Y$24="Yes",'Data Tables'!AA9,'Data Tables'!AB9),IF($Y$23="700-750",IF($Y$24="Yes",'Data Tables'!AG9,'Data Tables'!AH9),IF($Y$23="750-800",IF($Y$24="Yes",'Data Tables'!AG9,'Data Tables'!AH9),IF($Y$23="800-850",IF($Y$24="Yes",'Data Tables'!AG9,'Data Tables'!AH9),IF($Y$24="Yes",'Data Tables'!AG9,'Data Tables'!AH9)))))))))),IF($Y$23="550-575",IF($Y$24="Yes",'Data Tables'!AC9,'Data Tables'!AD9),IF($Y$23="575-600",IF($Y$24="Yes",'Data Tables'!AC9,'Data Tables'!AD9),IF($Y$23="600-625",IF($Y$24="Yes",'Data Tables'!AC9,'Data Tables'!AD9),IF($Y$23="625-650",IF($Y$24="Yes",'Data Tables'!AC9,'Data Tables'!AD9),IF($Y$23="650-675",IF($Y$24="Yes",'Data Tables'!AC9,'Data Tables'!AD9),IF($Y$23="675-700",IF($Y$24="Yes",'Data Tables'!AC9,'Data Tables'!AD9),IF($Y$23="700-750",IF($Y$24="Yes",'Data Tables'!AI9,'Data Tables'!AJ9),IF($Y$23="750-800",IF($Y$24="Yes",'Data Tables'!AI9,'Data Tables'!AJ9),IF($Y$23="800-850",IF($Y$24="Yes",'Data Tables'!AI9,'Data Tables'!AJ9),IF($Y$24="Yes",'Data Tables'!AI9,'Data Tables'!AJ9))))))))))))),IF($Y$21="Yare",(IF($Y$22="Freely draining",IF($Y$23="550-575",IF($Y$24="Yes",'Data Tables'!Y20,'Data Tables'!Z20),IF($Y$23="575-600",IF($Y$24="Yes",'Data Tables'!Y20,'Data Tables'!Z20),IF($Y$23="600-625",IF($Y$24="Yes",'Data Tables'!Y20,'Data Tables'!Z20),IF($Y$23="625-650",IF($Y$24="Yes",'Data Tables'!Y20,'Data Tables'!Z20),IF($Y$23="650-675",IF($Y$24="Yes",'Data Tables'!Y20,'Data Tables'!Z20),IF($Y$23="675-700",IF($Y$24="Yes",'Data Tables'!Y20,'Data Tables'!Z20),IF($Y$23="700-750",IF($Y$24="Yes",'Data Tables'!AE20,'Data Tables'!AF20),IF($Y$23="750-800",IF($Y$24="Yes",'Data Tables'!AE20,'Data Tables'!AF20),IF($Y$23="800-850",IF($Y$24="Yes",'Data Tables'!AE20,'Data Tables'!AF20),IF($Y$24="Yes",'Data Tables'!AE20,'Data Tables'!AF20)))))))))),IF($Y$22="Impermeable - drained for arable",IF($Y$23="550-575",IF($Y$24="Yes",'Data Tables'!AA20,'Data Tables'!AB20),IF($Y$23="575-600",IF($Y$24="Yes",'Data Tables'!AA20,'Data Tables'!AB20),IF($Y$23="600-625",IF($Y$24="Yes",'Data Tables'!AA20,'Data Tables'!AB20),IF($Y$23="625-650",IF($Y$24="Yes",'Data Tables'!AA20,'Data Tables'!AB20),IF($Y$23="650-675",IF($Y$24="Yes",'Data Tables'!AA20,'Data Tables'!AB20),IF($Y$23="675-700",IF($Y$24="Yes",'Data Tables'!AA20,'Data Tables'!AB20),IF($Y$23="700-750",IF($Y$24="Yes",'Data Tables'!AG20,'Data Tables'!AH20),IF($Y$23="750-800",IF($Y$24="Yes",'Data Tables'!AG20,'Data Tables'!AH20),IF($Y$23="800-850",IF($Y$24="Yes",'Data Tables'!AG20,'Data Tables'!AH20),IF($Y$24="Yes",'Data Tables'!AG20,'Data Tables'!AH20)))))))))),IF($Y$23="550-575",IF($Y$24="Yes",'Data Tables'!AC20,'Data Tables'!AD20),IF($Y$23="575-600",IF($Y$24="Yes",'Data Tables'!AC20,'Data Tables'!AD20),IF($Y$23="600-625",IF($Y$24="Yes",'Data Tables'!AC20,'Data Tables'!AD20),IF($Y$23="625-650",IF($Y$24="Yes",'Data Tables'!AC20,'Data Tables'!AD20),IF($Y$23="650-675",IF($Y$24="Yes",'Data Tables'!AC20,'Data Tables'!AD20),IF($Y$23="675-700",IF($Y$24="Yes",'Data Tables'!AC20,'Data Tables'!AD20),IF($Y$23="700-750",IF($Y$24="Yes",'Data Tables'!AI20,'Data Tables'!AJ20),IF($Y$23="750-800",IF($Y$24="Yes",'Data Tables'!AI20,'Data Tables'!AJ20),IF($Y$23="800-850",IF($Y$24="Yes",'Data Tables'!AI20,'Data Tables'!AJ20),IF($Y$24="Yes",'Data Tables'!AI20,'Data Tables'!AJ20))))))))))))),(IF($Y$22="Freely draining",IF($Y$23="550-575",IF($Y$24="Yes",'Data Tables'!S31,'Data Tables'!T31),IF($Y$23="575-600",IF($Y$24="Yes",'Data Tables'!S31,'Data Tables'!T31),IF($Y$23="600-625",IF($Y$24="Yes",'Data Tables'!Y31,'Data Tables'!Z31),IF($Y$23="625-650",IF($Y$24="Yes",'Data Tables'!Y31,'Data Tables'!Z31),IF($Y$23="650-675",IF($Y$24="Yes",'Data Tables'!Y31,'Data Tables'!Z31),IF($Y$23="675-700",IF($Y$24="Yes",'Data Tables'!Y31,'Data Tables'!Z31),IF($Y$23="700-750",IF($Y$24="Yes",'Data Tables'!AE31,'Data Tables'!AF31),IF($Y$23="750-800",IF($Y$24="Yes",'Data Tables'!AE31,'Data Tables'!AF31),IF($Y$23="800-850",IF($Y$24="Yes",'Data Tables'!AE31,'Data Tables'!AF31),IF($Y$24="Yes",'Data Tables'!AE31,'Data Tables'!AF31)))))))))),IF($Y$22="Impermeable - drained for arable",IF($Y$23="550-575",IF($Y$24="Yes",'Data Tables'!U31,'Data Tables'!V31),IF($Y$23="575-600",IF($Y$24="Yes",'Data Tables'!U31,'Data Tables'!V31),IF($Y$23="600-625",IF($Y$24="Yes",'Data Tables'!AA31,'Data Tables'!AB31),IF($Y$23="625-650",IF($Y$24="Yes",'Data Tables'!AA31,'Data Tables'!AB31),IF($Y$23="650-675",IF($Y$24="Yes",'Data Tables'!AA31,'Data Tables'!AB31),IF($Y$23="675-700",IF($Y$24="Yes",'Data Tables'!AA31,'Data Tables'!AB31),IF($Y$23="700-750",IF($Y$24="Yes",'Data Tables'!AG31,'Data Tables'!AH31),IF($Y$23="750-800",IF($Y$24="Yes",'Data Tables'!AG31,'Data Tables'!AH31),IF($Y$23="800-850",IF($Y$24="Yes",'Data Tables'!AG31,'Data Tables'!AH31),IF($Y$24="Yes",'Data Tables'!AG31,'Data Tables'!AH31)))))))))),IF($Y$23="550-575",IF($Y$24="Yes",'Data Tables'!W31,'Data Tables'!X31),IF($Y$23="575-600",IF($Y$24="Yes",'Data Tables'!W31,'Data Tables'!X31),IF($Y$23="600-625",IF($Y$24="Yes",'Data Tables'!AC31,'Data Tables'!AD31),IF($Y$23="625-650",IF($Y$24="Yes",'Data Tables'!AC31,'Data Tables'!AD31),IF($Y$23="650-675",IF($Y$24="Yes",'Data Tables'!AC31,'Data Tables'!AD31),IF($Y$23="675-700",IF($Y$24="Yes",'Data Tables'!AC31,'Data Tables'!AD31),IF($Y$23="700-750",IF($Y$24="Yes",'Data Tables'!AI31,'Data Tables'!AJ31),IF($Y$23="750-800",IF($Y$24="Yes",'Data Tables'!AI31,'Data Tables'!AJ31),IF($Y$23="800-850",IF($Y$24="Yes",'Data Tables'!AI31,'Data Tables'!AJ31),IF($Y$24="Yes",'Data Tables'!AI31,'Data Tables'!AJ31))))))))))))))),0),"")</f>
        <v/>
      </c>
      <c r="AB36" s="285" t="str">
        <f>IF($Y$16="Yes",IF($Y36="Yes",IF($Y$21="Wensum",(IF($Y$22="Freely draining",IF($Y$23="550-575",IF($Y$24="Yes",'Data Tables'!AM9,'Data Tables'!AN9),IF($Y$23="575-600",IF($Y$24="Yes",'Data Tables'!AM9,'Data Tables'!AN9),IF($Y$23="600-625",IF($Y$24="Yes",'Data Tables'!AM9,'Data Tables'!AN9),IF($Y$23="625-650",IF($Y$24="Yes",'Data Tables'!AM9,'Data Tables'!AN9),IF($Y$23="650-675",IF($Y$24="Yes",'Data Tables'!AM9,'Data Tables'!AN9),IF($Y$23="675-700",IF($Y$24="Yes",'Data Tables'!AM9,'Data Tables'!AN9),IF($Y$23="700-750",IF($Y$24="Yes",'Data Tables'!AS9,'Data Tables'!AT9),IF($Y$23="750-800",IF($Y$24="Yes",'Data Tables'!AS9,'Data Tables'!AT9),IF($Y$23="800-850",IF($Y$24="Yes",'Data Tables'!AS9,'Data Tables'!AT9),IF($Y$24="Yes",'Data Tables'!AS9,'Data Tables'!AT9)))))))))),IF($Y$22="Impermeable - drained for arable",IF($Y$23="550-575",IF($Y$24="Yes",'Data Tables'!AO9,'Data Tables'!AP9),IF($Y$23="575-600",IF($Y$24="Yes",'Data Tables'!AO9,'Data Tables'!AP9),IF($Y$23="600-625",IF($Y$24="Yes",'Data Tables'!AO9,'Data Tables'!AP9),IF($Y$23="625-650",IF($Y$24="Yes",'Data Tables'!AO9,'Data Tables'!AP9),IF($Y$23="650-675",IF($Y$24="Yes",'Data Tables'!AO9,'Data Tables'!AP9),IF($Y$23="675-700",IF($Y$24="Yes",'Data Tables'!AO9,'Data Tables'!AP9),IF($Y$23="700-750",IF($Y$24="Yes",'Data Tables'!AU9,'Data Tables'!AV9),IF($Y$23="750-800",IF($Y$24="Yes",'Data Tables'!AU9,'Data Tables'!AV9),IF($Y$23="800-850",IF($Y$24="Yes",'Data Tables'!AU9,'Data Tables'!AV9),IF($Y$24="Yes",'Data Tables'!AU9,'Data Tables'!AV9)))))))))),IF($Y$23="550-575",IF($Y$24="Yes",'Data Tables'!AQ9,'Data Tables'!AR9),IF($Y$23="575-600",IF($Y$24="Yes",'Data Tables'!AQ9,'Data Tables'!AR9),IF($Y$23="600-625",IF($Y$24="Yes",'Data Tables'!AQ9,'Data Tables'!AR9),IF($Y$23="625-650",IF($Y$24="Yes",'Data Tables'!AQ9,'Data Tables'!AR9),IF($Y$23="650-675",IF($Y$24="Yes",'Data Tables'!AQ9,'Data Tables'!AR9),IF($Y$23="675-700",IF($Y$24="Yes",'Data Tables'!AQ9,'Data Tables'!AR9),IF($Y$23="700-750",IF($Y$24="Yes",'Data Tables'!AW9,'Data Tables'!AX9),IF($Y$23="750-800",IF($Y$24="Yes",'Data Tables'!AW9,'Data Tables'!AX9),IF($Y$23="800-850",IF($Y$24="Yes",'Data Tables'!AW9,'Data Tables'!AX9),IF($Y$24="Yes",'Data Tables'!AW9,'Data Tables'!AX9))))))))))))),IF($Y$21="Yare",(IF($Y$22="Freely draining",IF($Y$23="550-575",IF($Y$24="Yes",'Data Tables'!AM20,'Data Tables'!AN20),IF($Y$23="575-600",IF($Y$24="Yes",'Data Tables'!AM20,'Data Tables'!AN20),IF($Y$23="600-625",IF($Y$24="Yes",'Data Tables'!AM20,'Data Tables'!AN20),IF($Y$23="625-650",IF($Y$24="Yes",'Data Tables'!AM20,'Data Tables'!AN20),IF($Y$23="650-675",IF($Y$24="Yes",'Data Tables'!AM20,'Data Tables'!AN20),IF($Y$23="675-700",IF($Y$24="Yes",'Data Tables'!AM20,'Data Tables'!AN20),IF($Y$23="700-750",IF($Y$24="Yes",'Data Tables'!AS20,'Data Tables'!AT20),IF($Y$23="750-800",IF($Y$24="Yes",'Data Tables'!AS20,'Data Tables'!AT20),IF($Y$23="800-850",IF($Y$24="Yes",'Data Tables'!AS20,'Data Tables'!AT20),IF($Y$24="Yes",'Data Tables'!AS20,'Data Tables'!AT20)))))))))),IF($Y$22="Impermeable - drained for arable",IF($Y$23="550-575",IF($Y$24="Yes",'Data Tables'!AO20,'Data Tables'!AP20),IF($Y$23="575-600",IF($Y$24="Yes",'Data Tables'!AO20,'Data Tables'!AP20),IF($Y$23="600-625",IF($Y$24="Yes",'Data Tables'!AO20,'Data Tables'!AP20),IF($Y$23="625-650",IF($Y$24="Yes",'Data Tables'!AO20,'Data Tables'!AP20),IF($Y$23="650-675",IF($Y$24="Yes",'Data Tables'!AO20,'Data Tables'!AP20),IF($Y$23="675-700",IF($Y$24="Yes",'Data Tables'!AO20,'Data Tables'!AP20),IF($Y$23="700-750",IF($Y$24="Yes",'Data Tables'!AU20,'Data Tables'!AV20),IF($Y$23="750-800",IF($Y$24="Yes",'Data Tables'!AU20,'Data Tables'!AV20),IF($Y$23="800-850",IF($Y$24="Yes",'Data Tables'!AU20,'Data Tables'!AV20),IF($Y$24="Yes",'Data Tables'!AU20,'Data Tables'!AV20)))))))))),IF($Y$23="550-575",IF($Y$24="Yes",'Data Tables'!AQ20,'Data Tables'!AR20),IF($Y$23="575-600",IF($Y$24="Yes",'Data Tables'!AQ20,'Data Tables'!AR20),IF($Y$23="600-625",IF($Y$24="Yes",'Data Tables'!AQ20,'Data Tables'!AR20),IF($Y$23="625-650",IF($Y$24="Yes",'Data Tables'!AQ20,'Data Tables'!AR20),IF($Y$23="650-675",IF($Y$24="Yes",'Data Tables'!AQ20,'Data Tables'!AR20),IF($Y$23="675-700",IF($Y$24="Yes",'Data Tables'!AQ20,'Data Tables'!AR20),IF($Y$23="700-750",IF($Y$24="Yes",'Data Tables'!AW20,'Data Tables'!AX20),IF($Y$23="750-800",IF($Y$24="Yes",'Data Tables'!AW20,'Data Tables'!AX20),IF($Y$23="800-850",IF($Y$24="Yes",'Data Tables'!AW20,'Data Tables'!AX20),IF($Y$24="Yes",'Data Tables'!AW20,'Data Tables'!AX20))))))))))))),(IF($Y$22="Freely draining",IF($Y$23="550-575",IF($Y$24="Yes",'Data Tables'!AG31,'Data Tables'!AH31),IF($Y$23="575-600",IF($Y$24="Yes",'Data Tables'!AG31,'Data Tables'!AH31),IF($Y$23="600-625",IF($Y$24="Yes",'Data Tables'!AM31,'Data Tables'!AN31),IF($Y$23="625-650",IF($Y$24="Yes",'Data Tables'!AM31,'Data Tables'!AN31),IF($Y$23="650-675",IF($Y$24="Yes",'Data Tables'!AM31,'Data Tables'!AN31),IF($Y$23="675-700",IF($Y$24="Yes",'Data Tables'!AM31,'Data Tables'!AN31),IF($Y$23="700-750",IF($Y$24="Yes",'Data Tables'!AS31,'Data Tables'!AT31),IF($Y$23="750-800",IF($Y$24="Yes",'Data Tables'!AS31,'Data Tables'!AT31),IF($Y$23="800-850",IF($Y$24="Yes",'Data Tables'!AS31,'Data Tables'!AT31),IF($Y$24="Yes",'Data Tables'!AS31,'Data Tables'!AT31)))))))))),IF($Y$22="Impermeable - drained for arable",IF($Y$23="550-575",IF($Y$24="Yes",'Data Tables'!AI31,'Data Tables'!AJ31),IF($Y$23="575-600",IF($Y$24="Yes",'Data Tables'!AI31,'Data Tables'!AJ31),IF($Y$23="600-625",IF($Y$24="Yes",'Data Tables'!AO31,'Data Tables'!AP31),IF($Y$23="625-650",IF($Y$24="Yes",'Data Tables'!AO31,'Data Tables'!AP31),IF($Y$23="650-675",IF($Y$24="Yes",'Data Tables'!AO31,'Data Tables'!AP31),IF($Y$23="675-700",IF($Y$24="Yes",'Data Tables'!AO31,'Data Tables'!AP31),IF($Y$23="700-750",IF($Y$24="Yes",'Data Tables'!AU31,'Data Tables'!AV31),IF($Y$23="750-800",IF($Y$24="Yes",'Data Tables'!AU31,'Data Tables'!AV31),IF($Y$23="800-850",IF($Y$24="Yes",'Data Tables'!AU31,'Data Tables'!AV31),IF($Y$24="Yes",'Data Tables'!AU31,'Data Tables'!AV31)))))))))),IF($Y$23="550-575",IF($Y$24="Yes",'Data Tables'!AK31,'Data Tables'!AL31),IF($Y$23="575-600",IF($Y$24="Yes",'Data Tables'!AK31,'Data Tables'!AL31),IF($Y$23="600-625",IF($Y$24="Yes",'Data Tables'!AQ31,'Data Tables'!AR31),IF($Y$23="625-650",IF($Y$24="Yes",'Data Tables'!AQ31,'Data Tables'!AR31),IF($Y$23="650-675",IF($Y$24="Yes",'Data Tables'!AQ31,'Data Tables'!AR31),IF($Y$23="675-700",IF($Y$24="Yes",'Data Tables'!AQ31,'Data Tables'!AR31),IF($Y$23="700-750",IF($Y$24="Yes",'Data Tables'!AW31,'Data Tables'!AX31),IF($Y$23="750-800",IF($Y$24="Yes",'Data Tables'!AW31,'Data Tables'!AX31),IF($Y$23="800-850",IF($Y$24="Yes",'Data Tables'!AW31,'Data Tables'!AX31),IF($Y$24="Yes",'Data Tables'!AW31,'Data Tables'!AX31))))))))))))))),0),"")</f>
        <v/>
      </c>
      <c r="AC36" s="313"/>
      <c r="AF36" s="94"/>
      <c r="AG36" s="94"/>
      <c r="AH36" s="94"/>
      <c r="AI36" s="94"/>
      <c r="AJ36" s="94"/>
      <c r="AK36" s="94"/>
      <c r="AL36" s="94"/>
      <c r="AM36" s="94"/>
      <c r="AN36" s="94"/>
      <c r="AO36" s="94"/>
      <c r="AP36" s="94"/>
      <c r="AQ36" s="94"/>
      <c r="AR36" s="94"/>
      <c r="AT36" s="94"/>
      <c r="AU36" s="94"/>
      <c r="AV36" s="94"/>
      <c r="AW36" s="94"/>
      <c r="AX36" s="94"/>
      <c r="AY36" s="94"/>
      <c r="AZ36" s="94"/>
      <c r="BA36" s="94"/>
    </row>
    <row r="37" spans="2:53" ht="15.95" customHeight="1" x14ac:dyDescent="0.25">
      <c r="B37" s="46"/>
      <c r="C37" s="42"/>
      <c r="D37" s="227"/>
      <c r="E37" s="432" t="str">
        <f>'Stage 2'!F32</f>
        <v>Horticulture</v>
      </c>
      <c r="F37" s="432"/>
      <c r="G37" s="432"/>
      <c r="H37" s="432"/>
      <c r="I37" s="432"/>
      <c r="J37" s="49"/>
      <c r="K37" s="315" t="str">
        <f>IF('Stage 2'!$K32&gt;0,'Stage 2'!O32/'Stage 2'!$K32,"")</f>
        <v/>
      </c>
      <c r="L37" s="230"/>
      <c r="M37" s="273" t="str">
        <f>IF('Stage 2'!$K32&gt;0,'Stage 2'!Q32/'Stage 2'!$K32,"")</f>
        <v/>
      </c>
      <c r="N37" s="238" t="s">
        <v>62</v>
      </c>
      <c r="O37" s="240" t="s">
        <v>81</v>
      </c>
      <c r="P37" s="258"/>
      <c r="Q37" s="49"/>
      <c r="R37" s="49"/>
      <c r="S37" s="49"/>
      <c r="T37" s="432" t="str">
        <f t="shared" si="0"/>
        <v>Horticulture</v>
      </c>
      <c r="U37" s="432"/>
      <c r="V37" s="432"/>
      <c r="W37" s="432"/>
      <c r="X37" s="432"/>
      <c r="Y37" s="238" t="s">
        <v>62</v>
      </c>
      <c r="Z37" s="49"/>
      <c r="AA37" s="285" t="str">
        <f>IF($Y$16="Yes",IF($Y37="Yes",IF($Y$21="Wensum",(IF($Y$22="Freely draining",IF($Y$23="550-575",IF($Y$24="Yes",'Data Tables'!Y10,'Data Tables'!Z10),IF($Y$23="575-600",IF($Y$24="Yes",'Data Tables'!Y10,'Data Tables'!Z10),IF($Y$23="600-625",IF($Y$24="Yes",'Data Tables'!Y10,'Data Tables'!Z10),IF($Y$23="625-650",IF($Y$24="Yes",'Data Tables'!Y10,'Data Tables'!Z10),IF($Y$23="650-675",IF($Y$24="Yes",'Data Tables'!Y10,'Data Tables'!Z10),IF($Y$23="675-700",IF($Y$24="Yes",'Data Tables'!Y10,'Data Tables'!Z10),IF($Y$23="700-750",IF($Y$24="Yes",'Data Tables'!AE10,'Data Tables'!AF10),IF($Y$23="750-800",IF($Y$24="Yes",'Data Tables'!AE10,'Data Tables'!AF10),IF($Y$23="800-850",IF($Y$24="Yes",'Data Tables'!AE10,'Data Tables'!AF10),IF($Y$24="Yes",'Data Tables'!AE10,'Data Tables'!AF10)))))))))),IF($Y$22="Impermeable - drained for arable",IF($Y$23="550-575",IF($Y$24="Yes",'Data Tables'!AA10,'Data Tables'!AB10),IF($Y$23="575-600",IF($Y$24="Yes",'Data Tables'!AA10,'Data Tables'!AB10),IF($Y$23="600-625",IF($Y$24="Yes",'Data Tables'!AA10,'Data Tables'!AB10),IF($Y$23="625-650",IF($Y$24="Yes",'Data Tables'!AA10,'Data Tables'!AB10),IF($Y$23="650-675",IF($Y$24="Yes",'Data Tables'!AA10,'Data Tables'!AB10),IF($Y$23="675-700",IF($Y$24="Yes",'Data Tables'!AA10,'Data Tables'!AB10),IF($Y$23="700-750",IF($Y$24="Yes",'Data Tables'!AG10,'Data Tables'!AH10),IF($Y$23="750-800",IF($Y$24="Yes",'Data Tables'!AG10,'Data Tables'!AH10),IF($Y$23="800-850",IF($Y$24="Yes",'Data Tables'!AG10,'Data Tables'!AH10),IF($Y$24="Yes",'Data Tables'!AG10,'Data Tables'!AH10)))))))))),IF($Y$23="550-575",IF($Y$24="Yes",'Data Tables'!AC10,'Data Tables'!AD10),IF($Y$23="575-600",IF($Y$24="Yes",'Data Tables'!AC10,'Data Tables'!AD10),IF($Y$23="600-625",IF($Y$24="Yes",'Data Tables'!AC10,'Data Tables'!AD10),IF($Y$23="625-650",IF($Y$24="Yes",'Data Tables'!AC10,'Data Tables'!AD10),IF($Y$23="650-675",IF($Y$24="Yes",'Data Tables'!AC10,'Data Tables'!AD10),IF($Y$23="675-700",IF($Y$24="Yes",'Data Tables'!AC10,'Data Tables'!AD10),IF($Y$23="700-750",IF($Y$24="Yes",'Data Tables'!AI10,'Data Tables'!AJ10),IF($Y$23="750-800",IF($Y$24="Yes",'Data Tables'!AI10,'Data Tables'!AJ10),IF($Y$23="800-850",IF($Y$24="Yes",'Data Tables'!AI10,'Data Tables'!AJ10),IF($Y$24="Yes",'Data Tables'!AI10,'Data Tables'!AJ10))))))))))))),IF($Y$21="Yare",(IF($Y$22="Freely draining",IF($Y$23="550-575",IF($Y$24="Yes",'Data Tables'!Y21,'Data Tables'!Z21),IF($Y$23="575-600",IF($Y$24="Yes",'Data Tables'!Y21,'Data Tables'!Z21),IF($Y$23="600-625",IF($Y$24="Yes",'Data Tables'!Y21,'Data Tables'!Z21),IF($Y$23="625-650",IF($Y$24="Yes",'Data Tables'!Y21,'Data Tables'!Z21),IF($Y$23="650-675",IF($Y$24="Yes",'Data Tables'!Y21,'Data Tables'!Z21),IF($Y$23="675-700",IF($Y$24="Yes",'Data Tables'!Y21,'Data Tables'!Z21),IF($Y$23="700-750",IF($Y$24="Yes",'Data Tables'!AE21,'Data Tables'!AF21),IF($Y$23="750-800",IF($Y$24="Yes",'Data Tables'!AE21,'Data Tables'!AF21),IF($Y$23="800-850",IF($Y$24="Yes",'Data Tables'!AE21,'Data Tables'!AF21),IF($Y$24="Yes",'Data Tables'!AE21,'Data Tables'!AF21)))))))))),IF($Y$22="Impermeable - drained for arable",IF($Y$23="550-575",IF($Y$24="Yes",'Data Tables'!AA21,'Data Tables'!AB21),IF($Y$23="575-600",IF($Y$24="Yes",'Data Tables'!AA21,'Data Tables'!AB21),IF($Y$23="600-625",IF($Y$24="Yes",'Data Tables'!AA21,'Data Tables'!AB21),IF($Y$23="625-650",IF($Y$24="Yes",'Data Tables'!AA21,'Data Tables'!AB21),IF($Y$23="650-675",IF($Y$24="Yes",'Data Tables'!AA21,'Data Tables'!AB21),IF($Y$23="675-700",IF($Y$24="Yes",'Data Tables'!AA21,'Data Tables'!AB21),IF($Y$23="700-750",IF($Y$24="Yes",'Data Tables'!AG21,'Data Tables'!AH21),IF($Y$23="750-800",IF($Y$24="Yes",'Data Tables'!AG21,'Data Tables'!AH21),IF($Y$23="800-850",IF($Y$24="Yes",'Data Tables'!AG21,'Data Tables'!AH21),IF($Y$24="Yes",'Data Tables'!AG21,'Data Tables'!AH21)))))))))),IF($Y$23="550-575",IF($Y$24="Yes",'Data Tables'!AC21,'Data Tables'!AD21),IF($Y$23="575-600",IF($Y$24="Yes",'Data Tables'!AC21,'Data Tables'!AD21),IF($Y$23="600-625",IF($Y$24="Yes",'Data Tables'!AC21,'Data Tables'!AD21),IF($Y$23="625-650",IF($Y$24="Yes",'Data Tables'!AC21,'Data Tables'!AD21),IF($Y$23="650-675",IF($Y$24="Yes",'Data Tables'!AC21,'Data Tables'!AD21),IF($Y$23="675-700",IF($Y$24="Yes",'Data Tables'!AC21,'Data Tables'!AD21),IF($Y$23="700-750",IF($Y$24="Yes",'Data Tables'!AI21,'Data Tables'!AJ21),IF($Y$23="750-800",IF($Y$24="Yes",'Data Tables'!AI21,'Data Tables'!AJ21),IF($Y$23="800-850",IF($Y$24="Yes",'Data Tables'!AI21,'Data Tables'!AJ21),IF($Y$24="Yes",'Data Tables'!AI21,'Data Tables'!AJ21))))))))))))),(IF($Y$22="Freely draining",IF($Y$23="550-575",IF($Y$24="Yes",'Data Tables'!S32,'Data Tables'!T32),IF($Y$23="575-600",IF($Y$24="Yes",'Data Tables'!S32,'Data Tables'!T32),IF($Y$23="600-625",IF($Y$24="Yes",'Data Tables'!Y32,'Data Tables'!Z32),IF($Y$23="625-650",IF($Y$24="Yes",'Data Tables'!Y32,'Data Tables'!Z32),IF($Y$23="650-675",IF($Y$24="Yes",'Data Tables'!Y32,'Data Tables'!Z32),IF($Y$23="675-700",IF($Y$24="Yes",'Data Tables'!Y32,'Data Tables'!Z32),IF($Y$23="700-750",IF($Y$24="Yes",'Data Tables'!AE32,'Data Tables'!AF32),IF($Y$23="750-800",IF($Y$24="Yes",'Data Tables'!AE32,'Data Tables'!AF32),IF($Y$23="800-850",IF($Y$24="Yes",'Data Tables'!AE32,'Data Tables'!AF32),IF($Y$24="Yes",'Data Tables'!AE32,'Data Tables'!AF32)))))))))),IF($Y$22="Impermeable - drained for arable",IF($Y$23="550-575",IF($Y$24="Yes",'Data Tables'!U32,'Data Tables'!V32),IF($Y$23="575-600",IF($Y$24="Yes",'Data Tables'!U32,'Data Tables'!V32),IF($Y$23="600-625",IF($Y$24="Yes",'Data Tables'!AA32,'Data Tables'!AB32),IF($Y$23="625-650",IF($Y$24="Yes",'Data Tables'!AA32,'Data Tables'!AB32),IF($Y$23="650-675",IF($Y$24="Yes",'Data Tables'!AA32,'Data Tables'!AB32),IF($Y$23="675-700",IF($Y$24="Yes",'Data Tables'!AA32,'Data Tables'!AB32),IF($Y$23="700-750",IF($Y$24="Yes",'Data Tables'!AG32,'Data Tables'!AH32),IF($Y$23="750-800",IF($Y$24="Yes",'Data Tables'!AG32,'Data Tables'!AH32),IF($Y$23="800-850",IF($Y$24="Yes",'Data Tables'!AG32,'Data Tables'!AH32),IF($Y$24="Yes",'Data Tables'!AG32,'Data Tables'!AH32)))))))))),IF($Y$23="550-575",IF($Y$24="Yes",'Data Tables'!W32,'Data Tables'!X32),IF($Y$23="575-600",IF($Y$24="Yes",'Data Tables'!W32,'Data Tables'!X32),IF($Y$23="600-625",IF($Y$24="Yes",'Data Tables'!AC32,'Data Tables'!AD32),IF($Y$23="625-650",IF($Y$24="Yes",'Data Tables'!AC32,'Data Tables'!AD32),IF($Y$23="650-675",IF($Y$24="Yes",'Data Tables'!AC32,'Data Tables'!AD32),IF($Y$23="675-700",IF($Y$24="Yes",'Data Tables'!AC32,'Data Tables'!AD32),IF($Y$23="700-750",IF($Y$24="Yes",'Data Tables'!AI32,'Data Tables'!AJ32),IF($Y$23="750-800",IF($Y$24="Yes",'Data Tables'!AI32,'Data Tables'!AJ32),IF($Y$23="800-850",IF($Y$24="Yes",'Data Tables'!AI32,'Data Tables'!AJ32),IF($Y$24="Yes",'Data Tables'!AI32,'Data Tables'!AJ32))))))))))))))),0),"")</f>
        <v/>
      </c>
      <c r="AB37" s="285" t="str">
        <f>IF($Y$16="Yes",IF($Y37="Yes",IF($Y$21="Wensum",(IF($Y$22="Freely draining",IF($Y$23="550-575",IF($Y$24="Yes",'Data Tables'!AM10,'Data Tables'!AN10),IF($Y$23="575-600",IF($Y$24="Yes",'Data Tables'!AM10,'Data Tables'!AN10),IF($Y$23="600-625",IF($Y$24="Yes",'Data Tables'!AM10,'Data Tables'!AN10),IF($Y$23="625-650",IF($Y$24="Yes",'Data Tables'!AM10,'Data Tables'!AN10),IF($Y$23="650-675",IF($Y$24="Yes",'Data Tables'!AM10,'Data Tables'!AN10),IF($Y$23="675-700",IF($Y$24="Yes",'Data Tables'!AM10,'Data Tables'!AN10),IF($Y$23="700-750",IF($Y$24="Yes",'Data Tables'!AS10,'Data Tables'!AT10),IF($Y$23="750-800",IF($Y$24="Yes",'Data Tables'!AS10,'Data Tables'!AT10),IF($Y$23="800-850",IF($Y$24="Yes",'Data Tables'!AS10,'Data Tables'!AT10),IF($Y$24="Yes",'Data Tables'!AS10,'Data Tables'!AT10)))))))))),IF($Y$22="Impermeable - drained for arable",IF($Y$23="550-575",IF($Y$24="Yes",'Data Tables'!AO10,'Data Tables'!AP10),IF($Y$23="575-600",IF($Y$24="Yes",'Data Tables'!AO10,'Data Tables'!AP10),IF($Y$23="600-625",IF($Y$24="Yes",'Data Tables'!AO10,'Data Tables'!AP10),IF($Y$23="625-650",IF($Y$24="Yes",'Data Tables'!AO10,'Data Tables'!AP10),IF($Y$23="650-675",IF($Y$24="Yes",'Data Tables'!AO10,'Data Tables'!AP10),IF($Y$23="675-700",IF($Y$24="Yes",'Data Tables'!AO10,'Data Tables'!AP10),IF($Y$23="700-750",IF($Y$24="Yes",'Data Tables'!AU10,'Data Tables'!AV10),IF($Y$23="750-800",IF($Y$24="Yes",'Data Tables'!AU10,'Data Tables'!AV10),IF($Y$23="800-850",IF($Y$24="Yes",'Data Tables'!AU10,'Data Tables'!AV10),IF($Y$24="Yes",'Data Tables'!AU10,'Data Tables'!AV10)))))))))),IF($Y$23="550-575",IF($Y$24="Yes",'Data Tables'!AQ10,'Data Tables'!AR10),IF($Y$23="575-600",IF($Y$24="Yes",'Data Tables'!AQ10,'Data Tables'!AR10),IF($Y$23="600-625",IF($Y$24="Yes",'Data Tables'!AQ10,'Data Tables'!AR10),IF($Y$23="625-650",IF($Y$24="Yes",'Data Tables'!AQ10,'Data Tables'!AR10),IF($Y$23="650-675",IF($Y$24="Yes",'Data Tables'!AQ10,'Data Tables'!AR10),IF($Y$23="675-700",IF($Y$24="Yes",'Data Tables'!AQ10,'Data Tables'!AR10),IF($Y$23="700-750",IF($Y$24="Yes",'Data Tables'!AW10,'Data Tables'!AX10),IF($Y$23="750-800",IF($Y$24="Yes",'Data Tables'!AW10,'Data Tables'!AX10),IF($Y$23="800-850",IF($Y$24="Yes",'Data Tables'!AW10,'Data Tables'!AX10),IF($Y$24="Yes",'Data Tables'!AW10,'Data Tables'!AX10))))))))))))),IF($Y$21="Yare",(IF($Y$22="Freely draining",IF($Y$23="550-575",IF($Y$24="Yes",'Data Tables'!AM21,'Data Tables'!AN21),IF($Y$23="575-600",IF($Y$24="Yes",'Data Tables'!AM21,'Data Tables'!AN21),IF($Y$23="600-625",IF($Y$24="Yes",'Data Tables'!AM21,'Data Tables'!AN21),IF($Y$23="625-650",IF($Y$24="Yes",'Data Tables'!AM21,'Data Tables'!AN21),IF($Y$23="650-675",IF($Y$24="Yes",'Data Tables'!AM21,'Data Tables'!AN21),IF($Y$23="675-700",IF($Y$24="Yes",'Data Tables'!AM21,'Data Tables'!AN21),IF($Y$23="700-750",IF($Y$24="Yes",'Data Tables'!AS21,'Data Tables'!AT21),IF($Y$23="750-800",IF($Y$24="Yes",'Data Tables'!AS21,'Data Tables'!AT21),IF($Y$23="800-850",IF($Y$24="Yes",'Data Tables'!AS21,'Data Tables'!AT21),IF($Y$24="Yes",'Data Tables'!AS21,'Data Tables'!AT21)))))))))),IF($Y$22="Impermeable - drained for arable",IF($Y$23="550-575",IF($Y$24="Yes",'Data Tables'!AO21,'Data Tables'!AP21),IF($Y$23="575-600",IF($Y$24="Yes",'Data Tables'!AO21,'Data Tables'!AP21),IF($Y$23="600-625",IF($Y$24="Yes",'Data Tables'!AO21,'Data Tables'!AP21),IF($Y$23="625-650",IF($Y$24="Yes",'Data Tables'!AO21,'Data Tables'!AP21),IF($Y$23="650-675",IF($Y$24="Yes",'Data Tables'!AO21,'Data Tables'!AP21),IF($Y$23="675-700",IF($Y$24="Yes",'Data Tables'!AO21,'Data Tables'!AP21),IF($Y$23="700-750",IF($Y$24="Yes",'Data Tables'!AU21,'Data Tables'!AV21),IF($Y$23="750-800",IF($Y$24="Yes",'Data Tables'!AU21,'Data Tables'!AV21),IF($Y$23="800-850",IF($Y$24="Yes",'Data Tables'!AU21,'Data Tables'!AV21),IF($Y$24="Yes",'Data Tables'!AU21,'Data Tables'!AV21)))))))))),IF($Y$23="550-575",IF($Y$24="Yes",'Data Tables'!AQ21,'Data Tables'!AR21),IF($Y$23="575-600",IF($Y$24="Yes",'Data Tables'!AQ21,'Data Tables'!AR21),IF($Y$23="600-625",IF($Y$24="Yes",'Data Tables'!AQ21,'Data Tables'!AR21),IF($Y$23="625-650",IF($Y$24="Yes",'Data Tables'!AQ21,'Data Tables'!AR21),IF($Y$23="650-675",IF($Y$24="Yes",'Data Tables'!AQ21,'Data Tables'!AR21),IF($Y$23="675-700",IF($Y$24="Yes",'Data Tables'!AQ21,'Data Tables'!AR21),IF($Y$23="700-750",IF($Y$24="Yes",'Data Tables'!AW21,'Data Tables'!AX21),IF($Y$23="750-800",IF($Y$24="Yes",'Data Tables'!AW21,'Data Tables'!AX21),IF($Y$23="800-850",IF($Y$24="Yes",'Data Tables'!AW21,'Data Tables'!AX21),IF($Y$24="Yes",'Data Tables'!AW21,'Data Tables'!AX21))))))))))))),(IF($Y$22="Freely draining",IF($Y$23="550-575",IF($Y$24="Yes",'Data Tables'!AG32,'Data Tables'!AH32),IF($Y$23="575-600",IF($Y$24="Yes",'Data Tables'!AG32,'Data Tables'!AH32),IF($Y$23="600-625",IF($Y$24="Yes",'Data Tables'!AM32,'Data Tables'!AN32),IF($Y$23="625-650",IF($Y$24="Yes",'Data Tables'!AM32,'Data Tables'!AN32),IF($Y$23="650-675",IF($Y$24="Yes",'Data Tables'!AM32,'Data Tables'!AN32),IF($Y$23="675-700",IF($Y$24="Yes",'Data Tables'!AM32,'Data Tables'!AN32),IF($Y$23="700-750",IF($Y$24="Yes",'Data Tables'!AS32,'Data Tables'!AT32),IF($Y$23="750-800",IF($Y$24="Yes",'Data Tables'!AS32,'Data Tables'!AT32),IF($Y$23="800-850",IF($Y$24="Yes",'Data Tables'!AS32,'Data Tables'!AT32),IF($Y$24="Yes",'Data Tables'!AS32,'Data Tables'!AT32)))))))))),IF($Y$22="Impermeable - drained for arable",IF($Y$23="550-575",IF($Y$24="Yes",'Data Tables'!AI32,'Data Tables'!AJ32),IF($Y$23="575-600",IF($Y$24="Yes",'Data Tables'!AI32,'Data Tables'!AJ32),IF($Y$23="600-625",IF($Y$24="Yes",'Data Tables'!AO32,'Data Tables'!AP32),IF($Y$23="625-650",IF($Y$24="Yes",'Data Tables'!AO32,'Data Tables'!AP32),IF($Y$23="650-675",IF($Y$24="Yes",'Data Tables'!AO32,'Data Tables'!AP32),IF($Y$23="675-700",IF($Y$24="Yes",'Data Tables'!AO32,'Data Tables'!AP32),IF($Y$23="700-750",IF($Y$24="Yes",'Data Tables'!AU32,'Data Tables'!AV32),IF($Y$23="750-800",IF($Y$24="Yes",'Data Tables'!AU32,'Data Tables'!AV32),IF($Y$23="800-850",IF($Y$24="Yes",'Data Tables'!AU32,'Data Tables'!AV32),IF($Y$24="Yes",'Data Tables'!AU32,'Data Tables'!AV32)))))))))),IF($Y$23="550-575",IF($Y$24="Yes",'Data Tables'!AK32,'Data Tables'!AL32),IF($Y$23="575-600",IF($Y$24="Yes",'Data Tables'!AK32,'Data Tables'!AL32),IF($Y$23="600-625",IF($Y$24="Yes",'Data Tables'!AQ32,'Data Tables'!AR32),IF($Y$23="625-650",IF($Y$24="Yes",'Data Tables'!AQ32,'Data Tables'!AR32),IF($Y$23="650-675",IF($Y$24="Yes",'Data Tables'!AQ32,'Data Tables'!AR32),IF($Y$23="675-700",IF($Y$24="Yes",'Data Tables'!AQ32,'Data Tables'!AR32),IF($Y$23="700-750",IF($Y$24="Yes",'Data Tables'!AW32,'Data Tables'!AX32),IF($Y$23="750-800",IF($Y$24="Yes",'Data Tables'!AW32,'Data Tables'!AX32),IF($Y$23="800-850",IF($Y$24="Yes",'Data Tables'!AW32,'Data Tables'!AX32),IF($Y$24="Yes",'Data Tables'!AW32,'Data Tables'!AX32))))))))))))))),0),"")</f>
        <v/>
      </c>
      <c r="AC37" s="313"/>
      <c r="AF37" s="94"/>
      <c r="AG37" s="94"/>
      <c r="AH37" s="94"/>
      <c r="AI37" s="94"/>
      <c r="AJ37" s="94"/>
      <c r="AK37" s="94"/>
      <c r="AL37" s="94"/>
      <c r="AM37" s="94"/>
      <c r="AN37" s="94"/>
      <c r="AO37" s="94"/>
      <c r="AP37" s="94"/>
      <c r="AQ37" s="94"/>
      <c r="AR37" s="94"/>
      <c r="AT37" s="94"/>
      <c r="AU37" s="94"/>
      <c r="AV37" s="94"/>
      <c r="AW37" s="94"/>
      <c r="AX37" s="94"/>
      <c r="AY37" s="94"/>
      <c r="AZ37" s="94"/>
      <c r="BA37" s="94"/>
    </row>
    <row r="38" spans="2:53" ht="15.95" customHeight="1" x14ac:dyDescent="0.25">
      <c r="B38" s="46"/>
      <c r="C38" s="42"/>
      <c r="D38" s="227"/>
      <c r="E38" s="432" t="str">
        <f>'Stage 2'!F33</f>
        <v>Cereals</v>
      </c>
      <c r="F38" s="432"/>
      <c r="G38" s="432"/>
      <c r="H38" s="432"/>
      <c r="I38" s="432"/>
      <c r="J38" s="49"/>
      <c r="K38" s="315" t="str">
        <f>IF('Stage 2'!$K33&gt;0,'Stage 2'!O33/'Stage 2'!$K33,"")</f>
        <v/>
      </c>
      <c r="L38" s="230"/>
      <c r="M38" s="273" t="str">
        <f>IF('Stage 2'!$K33&gt;0,'Stage 2'!Q33/'Stage 2'!$K33,"")</f>
        <v/>
      </c>
      <c r="N38" s="238" t="s">
        <v>62</v>
      </c>
      <c r="O38" s="240" t="s">
        <v>81</v>
      </c>
      <c r="P38" s="258"/>
      <c r="Q38" s="49"/>
      <c r="R38" s="49"/>
      <c r="S38" s="49"/>
      <c r="T38" s="432" t="str">
        <f t="shared" si="0"/>
        <v>Cereals</v>
      </c>
      <c r="U38" s="432"/>
      <c r="V38" s="432"/>
      <c r="W38" s="432"/>
      <c r="X38" s="432"/>
      <c r="Y38" s="238" t="s">
        <v>62</v>
      </c>
      <c r="Z38" s="49"/>
      <c r="AA38" s="285" t="str">
        <f>IF($Y$16="Yes",IF($Y38="Yes",IF($Y$21="Wensum",(IF($Y$22="Freely draining",IF($Y$23="550-575",IF($Y$24="Yes",'Data Tables'!Y11,'Data Tables'!Z11),IF($Y$23="575-600",IF($Y$24="Yes",'Data Tables'!Y11,'Data Tables'!Z11),IF($Y$23="600-625",IF($Y$24="Yes",'Data Tables'!Y11,'Data Tables'!Z11),IF($Y$23="625-650",IF($Y$24="Yes",'Data Tables'!Y11,'Data Tables'!Z11),IF($Y$23="650-675",IF($Y$24="Yes",'Data Tables'!Y11,'Data Tables'!Z11),IF($Y$23="675-700",IF($Y$24="Yes",'Data Tables'!Y11,'Data Tables'!Z11),IF($Y$23="700-750",IF($Y$24="Yes",'Data Tables'!AE11,'Data Tables'!AF11),IF($Y$23="750-800",IF($Y$24="Yes",'Data Tables'!AE11,'Data Tables'!AF11),IF($Y$23="800-850",IF($Y$24="Yes",'Data Tables'!AE11,'Data Tables'!AF11),IF($Y$24="Yes",'Data Tables'!AE11,'Data Tables'!AF11)))))))))),IF($Y$22="Impermeable - drained for arable",IF($Y$23="550-575",IF($Y$24="Yes",'Data Tables'!AA11,'Data Tables'!AB11),IF($Y$23="575-600",IF($Y$24="Yes",'Data Tables'!AA11,'Data Tables'!AB11),IF($Y$23="600-625",IF($Y$24="Yes",'Data Tables'!AA11,'Data Tables'!AB11),IF($Y$23="625-650",IF($Y$24="Yes",'Data Tables'!AA11,'Data Tables'!AB11),IF($Y$23="650-675",IF($Y$24="Yes",'Data Tables'!AA11,'Data Tables'!AB11),IF($Y$23="675-700",IF($Y$24="Yes",'Data Tables'!AA11,'Data Tables'!AB11),IF($Y$23="700-750",IF($Y$24="Yes",'Data Tables'!AG11,'Data Tables'!AH11),IF($Y$23="750-800",IF($Y$24="Yes",'Data Tables'!AG11,'Data Tables'!AH11),IF($Y$23="800-850",IF($Y$24="Yes",'Data Tables'!AG11,'Data Tables'!AH11),IF($Y$24="Yes",'Data Tables'!AG11,'Data Tables'!AH11)))))))))),IF($Y$23="550-575",IF($Y$24="Yes",'Data Tables'!AC11,'Data Tables'!AD11),IF($Y$23="575-600",IF($Y$24="Yes",'Data Tables'!AC11,'Data Tables'!AD11),IF($Y$23="600-625",IF($Y$24="Yes",'Data Tables'!AC11,'Data Tables'!AD11),IF($Y$23="625-650",IF($Y$24="Yes",'Data Tables'!AC11,'Data Tables'!AD11),IF($Y$23="650-675",IF($Y$24="Yes",'Data Tables'!AC11,'Data Tables'!AD11),IF($Y$23="675-700",IF($Y$24="Yes",'Data Tables'!AC11,'Data Tables'!AD11),IF($Y$23="700-750",IF($Y$24="Yes",'Data Tables'!AI11,'Data Tables'!AJ11),IF($Y$23="750-800",IF($Y$24="Yes",'Data Tables'!AI11,'Data Tables'!AJ11),IF($Y$23="800-850",IF($Y$24="Yes",'Data Tables'!AI11,'Data Tables'!AJ11),IF($Y$24="Yes",'Data Tables'!AI11,'Data Tables'!AJ11))))))))))))),IF($Y$21="Yare",(IF($Y$22="Freely draining",IF($Y$23="550-575",IF($Y$24="Yes",'Data Tables'!Y22,'Data Tables'!Z22),IF($Y$23="575-600",IF($Y$24="Yes",'Data Tables'!Y22,'Data Tables'!Z22),IF($Y$23="600-625",IF($Y$24="Yes",'Data Tables'!Y22,'Data Tables'!Z22),IF($Y$23="625-650",IF($Y$24="Yes",'Data Tables'!Y22,'Data Tables'!Z22),IF($Y$23="650-675",IF($Y$24="Yes",'Data Tables'!Y22,'Data Tables'!Z22),IF($Y$23="675-700",IF($Y$24="Yes",'Data Tables'!Y22,'Data Tables'!Z22),IF($Y$23="700-750",IF($Y$24="Yes",'Data Tables'!AE22,'Data Tables'!AF22),IF($Y$23="750-800",IF($Y$24="Yes",'Data Tables'!AE22,'Data Tables'!AF22),IF($Y$23="800-850",IF($Y$24="Yes",'Data Tables'!AE22,'Data Tables'!AF22),IF($Y$24="Yes",'Data Tables'!AE22,'Data Tables'!AF22)))))))))),IF($Y$22="Impermeable - drained for arable",IF($Y$23="550-575",IF($Y$24="Yes",'Data Tables'!AA22,'Data Tables'!AB22),IF($Y$23="575-600",IF($Y$24="Yes",'Data Tables'!AA22,'Data Tables'!AB22),IF($Y$23="600-625",IF($Y$24="Yes",'Data Tables'!AA22,'Data Tables'!AB22),IF($Y$23="625-650",IF($Y$24="Yes",'Data Tables'!AA22,'Data Tables'!AB22),IF($Y$23="650-675",IF($Y$24="Yes",'Data Tables'!AA22,'Data Tables'!AB22),IF($Y$23="675-700",IF($Y$24="Yes",'Data Tables'!AA22,'Data Tables'!AB22),IF($Y$23="700-750",IF($Y$24="Yes",'Data Tables'!AG22,'Data Tables'!AH22),IF($Y$23="750-800",IF($Y$24="Yes",'Data Tables'!AG22,'Data Tables'!AH22),IF($Y$23="800-850",IF($Y$24="Yes",'Data Tables'!AG22,'Data Tables'!AH22),IF($Y$24="Yes",'Data Tables'!AG22,'Data Tables'!AH22)))))))))),IF($Y$23="550-575",IF($Y$24="Yes",'Data Tables'!AC22,'Data Tables'!AD22),IF($Y$23="575-600",IF($Y$24="Yes",'Data Tables'!AC22,'Data Tables'!AD22),IF($Y$23="600-625",IF($Y$24="Yes",'Data Tables'!AC22,'Data Tables'!AD22),IF($Y$23="625-650",IF($Y$24="Yes",'Data Tables'!AC22,'Data Tables'!AD22),IF($Y$23="650-675",IF($Y$24="Yes",'Data Tables'!AC22,'Data Tables'!AD22),IF($Y$23="675-700",IF($Y$24="Yes",'Data Tables'!AC22,'Data Tables'!AD22),IF($Y$23="700-750",IF($Y$24="Yes",'Data Tables'!AI22,'Data Tables'!AJ22),IF($Y$23="750-800",IF($Y$24="Yes",'Data Tables'!AI22,'Data Tables'!AJ22),IF($Y$23="800-850",IF($Y$24="Yes",'Data Tables'!AI22,'Data Tables'!AJ22),IF($Y$24="Yes",'Data Tables'!AI22,'Data Tables'!AJ22))))))))))))),(IF($Y$22="Freely draining",IF($Y$23="550-575",IF($Y$24="Yes",'Data Tables'!S33,'Data Tables'!T33),IF($Y$23="575-600",IF($Y$24="Yes",'Data Tables'!S33,'Data Tables'!T33),IF($Y$23="600-625",IF($Y$24="Yes",'Data Tables'!Y33,'Data Tables'!Z33),IF($Y$23="625-650",IF($Y$24="Yes",'Data Tables'!Y33,'Data Tables'!Z33),IF($Y$23="650-675",IF($Y$24="Yes",'Data Tables'!Y33,'Data Tables'!Z33),IF($Y$23="675-700",IF($Y$24="Yes",'Data Tables'!Y33,'Data Tables'!Z33),IF($Y$23="700-750",IF($Y$24="Yes",'Data Tables'!AE33,'Data Tables'!AF33),IF($Y$23="750-800",IF($Y$24="Yes",'Data Tables'!AE33,'Data Tables'!AF33),IF($Y$23="800-850",IF($Y$24="Yes",'Data Tables'!AE33,'Data Tables'!AF33),IF($Y$24="Yes",'Data Tables'!AE33,'Data Tables'!AF33)))))))))),IF($Y$22="Impermeable - drained for arable",IF($Y$23="550-575",IF($Y$24="Yes",'Data Tables'!U33,'Data Tables'!V33),IF($Y$23="575-600",IF($Y$24="Yes",'Data Tables'!U33,'Data Tables'!V33),IF($Y$23="600-625",IF($Y$24="Yes",'Data Tables'!AA33,'Data Tables'!AB33),IF($Y$23="625-650",IF($Y$24="Yes",'Data Tables'!AA33,'Data Tables'!AB33),IF($Y$23="650-675",IF($Y$24="Yes",'Data Tables'!AA33,'Data Tables'!AB33),IF($Y$23="675-700",IF($Y$24="Yes",'Data Tables'!AA33,'Data Tables'!AB33),IF($Y$23="700-750",IF($Y$24="Yes",'Data Tables'!AG33,'Data Tables'!AH33),IF($Y$23="750-800",IF($Y$24="Yes",'Data Tables'!AG33,'Data Tables'!AH33),IF($Y$23="800-850",IF($Y$24="Yes",'Data Tables'!AG33,'Data Tables'!AH33),IF($Y$24="Yes",'Data Tables'!AG33,'Data Tables'!AH33)))))))))),IF($Y$23="550-575",IF($Y$24="Yes",'Data Tables'!W33,'Data Tables'!X33),IF($Y$23="575-600",IF($Y$24="Yes",'Data Tables'!W33,'Data Tables'!X33),IF($Y$23="600-625",IF($Y$24="Yes",'Data Tables'!AC33,'Data Tables'!AD33),IF($Y$23="625-650",IF($Y$24="Yes",'Data Tables'!AC33,'Data Tables'!AD33),IF($Y$23="650-675",IF($Y$24="Yes",'Data Tables'!AC33,'Data Tables'!AD33),IF($Y$23="675-700",IF($Y$24="Yes",'Data Tables'!AC33,'Data Tables'!AD33),IF($Y$23="700-750",IF($Y$24="Yes",'Data Tables'!AI33,'Data Tables'!AJ33),IF($Y$23="750-800",IF($Y$24="Yes",'Data Tables'!AI33,'Data Tables'!AJ33),IF($Y$23="800-850",IF($Y$24="Yes",'Data Tables'!AI33,'Data Tables'!AJ33),IF($Y$24="Yes",'Data Tables'!AI33,'Data Tables'!AJ33))))))))))))))),0),"")</f>
        <v/>
      </c>
      <c r="AB38" s="285" t="str">
        <f>IF($Y$16="Yes",IF($Y38="Yes",IF($Y$21="Wensum",(IF($Y$22="Freely draining",IF($Y$23="550-575",IF($Y$24="Yes",'Data Tables'!AM11,'Data Tables'!AN11),IF($Y$23="575-600",IF($Y$24="Yes",'Data Tables'!AM11,'Data Tables'!AN11),IF($Y$23="600-625",IF($Y$24="Yes",'Data Tables'!AM11,'Data Tables'!AN11),IF($Y$23="625-650",IF($Y$24="Yes",'Data Tables'!AM11,'Data Tables'!AN11),IF($Y$23="650-675",IF($Y$24="Yes",'Data Tables'!AM11,'Data Tables'!AN11),IF($Y$23="675-700",IF($Y$24="Yes",'Data Tables'!AM11,'Data Tables'!AN11),IF($Y$23="700-750",IF($Y$24="Yes",'Data Tables'!AS11,'Data Tables'!AT11),IF($Y$23="750-800",IF($Y$24="Yes",'Data Tables'!AS11,'Data Tables'!AT11),IF($Y$23="800-850",IF($Y$24="Yes",'Data Tables'!AS11,'Data Tables'!AT11),IF($Y$24="Yes",'Data Tables'!AS11,'Data Tables'!AT11)))))))))),IF($Y$22="Impermeable - drained for arable",IF($Y$23="550-575",IF($Y$24="Yes",'Data Tables'!AO11,'Data Tables'!AP11),IF($Y$23="575-600",IF($Y$24="Yes",'Data Tables'!AO11,'Data Tables'!AP11),IF($Y$23="600-625",IF($Y$24="Yes",'Data Tables'!AO11,'Data Tables'!AP11),IF($Y$23="625-650",IF($Y$24="Yes",'Data Tables'!AO11,'Data Tables'!AP11),IF($Y$23="650-675",IF($Y$24="Yes",'Data Tables'!AO11,'Data Tables'!AP11),IF($Y$23="675-700",IF($Y$24="Yes",'Data Tables'!AO11,'Data Tables'!AP11),IF($Y$23="700-750",IF($Y$24="Yes",'Data Tables'!AU11,'Data Tables'!AV11),IF($Y$23="750-800",IF($Y$24="Yes",'Data Tables'!AU11,'Data Tables'!AV11),IF($Y$23="800-850",IF($Y$24="Yes",'Data Tables'!AU11,'Data Tables'!AV11),IF($Y$24="Yes",'Data Tables'!AU11,'Data Tables'!AV11)))))))))),IF($Y$23="550-575",IF($Y$24="Yes",'Data Tables'!AQ11,'Data Tables'!AR11),IF($Y$23="575-600",IF($Y$24="Yes",'Data Tables'!AQ11,'Data Tables'!AR11),IF($Y$23="600-625",IF($Y$24="Yes",'Data Tables'!AQ11,'Data Tables'!AR11),IF($Y$23="625-650",IF($Y$24="Yes",'Data Tables'!AQ11,'Data Tables'!AR11),IF($Y$23="650-675",IF($Y$24="Yes",'Data Tables'!AQ11,'Data Tables'!AR11),IF($Y$23="675-700",IF($Y$24="Yes",'Data Tables'!AQ11,'Data Tables'!AR11),IF($Y$23="700-750",IF($Y$24="Yes",'Data Tables'!AW11,'Data Tables'!AX11),IF($Y$23="750-800",IF($Y$24="Yes",'Data Tables'!AW11,'Data Tables'!AX11),IF($Y$23="800-850",IF($Y$24="Yes",'Data Tables'!AW11,'Data Tables'!AX11),IF($Y$24="Yes",'Data Tables'!AW11,'Data Tables'!AX11))))))))))))),IF($Y$21="Yare",(IF($Y$22="Freely draining",IF($Y$23="550-575",IF($Y$24="Yes",'Data Tables'!AM22,'Data Tables'!AN22),IF($Y$23="575-600",IF($Y$24="Yes",'Data Tables'!AM22,'Data Tables'!AN22),IF($Y$23="600-625",IF($Y$24="Yes",'Data Tables'!AM22,'Data Tables'!AN22),IF($Y$23="625-650",IF($Y$24="Yes",'Data Tables'!AM22,'Data Tables'!AN22),IF($Y$23="650-675",IF($Y$24="Yes",'Data Tables'!AM22,'Data Tables'!AN22),IF($Y$23="675-700",IF($Y$24="Yes",'Data Tables'!AM22,'Data Tables'!AN22),IF($Y$23="700-750",IF($Y$24="Yes",'Data Tables'!AS22,'Data Tables'!AT22),IF($Y$23="750-800",IF($Y$24="Yes",'Data Tables'!AS22,'Data Tables'!AT22),IF($Y$23="800-850",IF($Y$24="Yes",'Data Tables'!AS22,'Data Tables'!AT22),IF($Y$24="Yes",'Data Tables'!AS22,'Data Tables'!AT22)))))))))),IF($Y$22="Impermeable - drained for arable",IF($Y$23="550-575",IF($Y$24="Yes",'Data Tables'!AO22,'Data Tables'!AP22),IF($Y$23="575-600",IF($Y$24="Yes",'Data Tables'!AO22,'Data Tables'!AP22),IF($Y$23="600-625",IF($Y$24="Yes",'Data Tables'!AO22,'Data Tables'!AP22),IF($Y$23="625-650",IF($Y$24="Yes",'Data Tables'!AO22,'Data Tables'!AP22),IF($Y$23="650-675",IF($Y$24="Yes",'Data Tables'!AO22,'Data Tables'!AP22),IF($Y$23="675-700",IF($Y$24="Yes",'Data Tables'!AO22,'Data Tables'!AP22),IF($Y$23="700-750",IF($Y$24="Yes",'Data Tables'!AU22,'Data Tables'!AV22),IF($Y$23="750-800",IF($Y$24="Yes",'Data Tables'!AU22,'Data Tables'!AV22),IF($Y$23="800-850",IF($Y$24="Yes",'Data Tables'!AU22,'Data Tables'!AV22),IF($Y$24="Yes",'Data Tables'!AU22,'Data Tables'!AV22)))))))))),IF($Y$23="550-575",IF($Y$24="Yes",'Data Tables'!AQ22,'Data Tables'!AR22),IF($Y$23="575-600",IF($Y$24="Yes",'Data Tables'!AQ22,'Data Tables'!AR22),IF($Y$23="600-625",IF($Y$24="Yes",'Data Tables'!AQ22,'Data Tables'!AR22),IF($Y$23="625-650",IF($Y$24="Yes",'Data Tables'!AQ22,'Data Tables'!AR22),IF($Y$23="650-675",IF($Y$24="Yes",'Data Tables'!AQ22,'Data Tables'!AR22),IF($Y$23="675-700",IF($Y$24="Yes",'Data Tables'!AQ22,'Data Tables'!AR22),IF($Y$23="700-750",IF($Y$24="Yes",'Data Tables'!AW22,'Data Tables'!AX22),IF($Y$23="750-800",IF($Y$24="Yes",'Data Tables'!AW22,'Data Tables'!AX22),IF($Y$23="800-850",IF($Y$24="Yes",'Data Tables'!AW22,'Data Tables'!AX22),IF($Y$24="Yes",'Data Tables'!AW22,'Data Tables'!AX22))))))))))))),(IF($Y$22="Freely draining",IF($Y$23="550-575",IF($Y$24="Yes",'Data Tables'!AG33,'Data Tables'!AH33),IF($Y$23="575-600",IF($Y$24="Yes",'Data Tables'!AG33,'Data Tables'!AH33),IF($Y$23="600-625",IF($Y$24="Yes",'Data Tables'!AM33,'Data Tables'!AN33),IF($Y$23="625-650",IF($Y$24="Yes",'Data Tables'!AM33,'Data Tables'!AN33),IF($Y$23="650-675",IF($Y$24="Yes",'Data Tables'!AM33,'Data Tables'!AN33),IF($Y$23="675-700",IF($Y$24="Yes",'Data Tables'!AM33,'Data Tables'!AN33),IF($Y$23="700-750",IF($Y$24="Yes",'Data Tables'!AS33,'Data Tables'!AT33),IF($Y$23="750-800",IF($Y$24="Yes",'Data Tables'!AS33,'Data Tables'!AT33),IF($Y$23="800-850",IF($Y$24="Yes",'Data Tables'!AS33,'Data Tables'!AT33),IF($Y$24="Yes",'Data Tables'!AS33,'Data Tables'!AT33)))))))))),IF($Y$22="Impermeable - drained for arable",IF($Y$23="550-575",IF($Y$24="Yes",'Data Tables'!AI33,'Data Tables'!AJ33),IF($Y$23="575-600",IF($Y$24="Yes",'Data Tables'!AI33,'Data Tables'!AJ33),IF($Y$23="600-625",IF($Y$24="Yes",'Data Tables'!AO33,'Data Tables'!AP33),IF($Y$23="625-650",IF($Y$24="Yes",'Data Tables'!AO33,'Data Tables'!AP33),IF($Y$23="650-675",IF($Y$24="Yes",'Data Tables'!AO33,'Data Tables'!AP33),IF($Y$23="675-700",IF($Y$24="Yes",'Data Tables'!AO33,'Data Tables'!AP33),IF($Y$23="700-750",IF($Y$24="Yes",'Data Tables'!AU33,'Data Tables'!AV33),IF($Y$23="750-800",IF($Y$24="Yes",'Data Tables'!AU33,'Data Tables'!AV33),IF($Y$23="800-850",IF($Y$24="Yes",'Data Tables'!AU33,'Data Tables'!AV33),IF($Y$24="Yes",'Data Tables'!AU33,'Data Tables'!AV33)))))))))),IF($Y$23="550-575",IF($Y$24="Yes",'Data Tables'!AK33,'Data Tables'!AL33),IF($Y$23="575-600",IF($Y$24="Yes",'Data Tables'!AK33,'Data Tables'!AL33),IF($Y$23="600-625",IF($Y$24="Yes",'Data Tables'!AQ33,'Data Tables'!AR33),IF($Y$23="625-650",IF($Y$24="Yes",'Data Tables'!AQ33,'Data Tables'!AR33),IF($Y$23="650-675",IF($Y$24="Yes",'Data Tables'!AQ33,'Data Tables'!AR33),IF($Y$23="675-700",IF($Y$24="Yes",'Data Tables'!AQ33,'Data Tables'!AR33),IF($Y$23="700-750",IF($Y$24="Yes",'Data Tables'!AW33,'Data Tables'!AX33),IF($Y$23="750-800",IF($Y$24="Yes",'Data Tables'!AW33,'Data Tables'!AX33),IF($Y$23="800-850",IF($Y$24="Yes",'Data Tables'!AW33,'Data Tables'!AX33),IF($Y$24="Yes",'Data Tables'!AW33,'Data Tables'!AX33))))))))))))))),0),"")</f>
        <v/>
      </c>
      <c r="AC38" s="313"/>
      <c r="AF38" s="94"/>
      <c r="AG38" s="94"/>
      <c r="AH38" s="94"/>
      <c r="AI38" s="94"/>
      <c r="AJ38" s="94"/>
      <c r="AK38" s="94"/>
      <c r="AL38" s="94"/>
      <c r="AM38" s="94"/>
      <c r="AN38" s="94"/>
      <c r="AO38" s="94"/>
      <c r="AP38" s="94"/>
      <c r="AQ38" s="94"/>
      <c r="AR38" s="94"/>
      <c r="AT38" s="94"/>
      <c r="AU38" s="94"/>
      <c r="AV38" s="94"/>
      <c r="AW38" s="94"/>
      <c r="AX38" s="94"/>
      <c r="AY38" s="94"/>
      <c r="AZ38" s="94"/>
      <c r="BA38" s="94"/>
    </row>
    <row r="39" spans="2:53" ht="15.95" customHeight="1" x14ac:dyDescent="0.25">
      <c r="B39" s="46"/>
      <c r="C39" s="42"/>
      <c r="D39" s="227"/>
      <c r="E39" s="432" t="str">
        <f>'Stage 2'!F34</f>
        <v>General arable</v>
      </c>
      <c r="F39" s="432"/>
      <c r="G39" s="432"/>
      <c r="H39" s="432"/>
      <c r="I39" s="432"/>
      <c r="J39" s="49"/>
      <c r="K39" s="315" t="str">
        <f>IF('Stage 2'!$K34&gt;0,'Stage 2'!O34/'Stage 2'!$K34,"")</f>
        <v/>
      </c>
      <c r="L39" s="230"/>
      <c r="M39" s="273" t="str">
        <f>IF('Stage 2'!$K34&gt;0,'Stage 2'!Q34/'Stage 2'!$K34,"")</f>
        <v/>
      </c>
      <c r="N39" s="238" t="s">
        <v>62</v>
      </c>
      <c r="O39" s="240" t="s">
        <v>81</v>
      </c>
      <c r="P39" s="258"/>
      <c r="Q39" s="49"/>
      <c r="R39" s="49"/>
      <c r="S39" s="49"/>
      <c r="T39" s="432" t="str">
        <f t="shared" si="0"/>
        <v>General arable</v>
      </c>
      <c r="U39" s="432"/>
      <c r="V39" s="432"/>
      <c r="W39" s="432"/>
      <c r="X39" s="432"/>
      <c r="Y39" s="238" t="s">
        <v>62</v>
      </c>
      <c r="Z39" s="49"/>
      <c r="AA39" s="285" t="str">
        <f>IF($Y$16="Yes",IF($Y39="Yes",IF($Y$21="Wensum",(IF($Y$22="Freely draining",IF($Y$23="550-575",IF($Y$24="Yes",'Data Tables'!Y12,'Data Tables'!Z12),IF($Y$23="575-600",IF($Y$24="Yes",'Data Tables'!Y12,'Data Tables'!Z12),IF($Y$23="600-625",IF($Y$24="Yes",'Data Tables'!Y12,'Data Tables'!Z12),IF($Y$23="625-650",IF($Y$24="Yes",'Data Tables'!Y12,'Data Tables'!Z12),IF($Y$23="650-675",IF($Y$24="Yes",'Data Tables'!Y12,'Data Tables'!Z12),IF($Y$23="675-700",IF($Y$24="Yes",'Data Tables'!Y12,'Data Tables'!Z12),IF($Y$23="700-750",IF($Y$24="Yes",'Data Tables'!AE12,'Data Tables'!AF12),IF($Y$23="750-800",IF($Y$24="Yes",'Data Tables'!AE12,'Data Tables'!AF12),IF($Y$23="800-850",IF($Y$24="Yes",'Data Tables'!AE12,'Data Tables'!AF12),IF($Y$24="Yes",'Data Tables'!AE12,'Data Tables'!AF12)))))))))),IF($Y$22="Impermeable - drained for arable",IF($Y$23="550-575",IF($Y$24="Yes",'Data Tables'!AA12,'Data Tables'!AB12),IF($Y$23="575-600",IF($Y$24="Yes",'Data Tables'!AA12,'Data Tables'!AB12),IF($Y$23="600-625",IF($Y$24="Yes",'Data Tables'!AA12,'Data Tables'!AB12),IF($Y$23="625-650",IF($Y$24="Yes",'Data Tables'!AA12,'Data Tables'!AB12),IF($Y$23="650-675",IF($Y$24="Yes",'Data Tables'!AA12,'Data Tables'!AB12),IF($Y$23="675-700",IF($Y$24="Yes",'Data Tables'!AA12,'Data Tables'!AB12),IF($Y$23="700-750",IF($Y$24="Yes",'Data Tables'!AG12,'Data Tables'!AH12),IF($Y$23="750-800",IF($Y$24="Yes",'Data Tables'!AG12,'Data Tables'!AH12),IF($Y$23="800-850",IF($Y$24="Yes",'Data Tables'!AG12,'Data Tables'!AH12),IF($Y$24="Yes",'Data Tables'!AG12,'Data Tables'!AH12)))))))))),IF($Y$23="550-575",IF($Y$24="Yes",'Data Tables'!AC12,'Data Tables'!AD12),IF($Y$23="575-600",IF($Y$24="Yes",'Data Tables'!AC12,'Data Tables'!AD12),IF($Y$23="600-625",IF($Y$24="Yes",'Data Tables'!AC12,'Data Tables'!AD12),IF($Y$23="625-650",IF($Y$24="Yes",'Data Tables'!AC12,'Data Tables'!AD12),IF($Y$23="650-675",IF($Y$24="Yes",'Data Tables'!AC12,'Data Tables'!AD12),IF($Y$23="675-700",IF($Y$24="Yes",'Data Tables'!AC12,'Data Tables'!AD12),IF($Y$23="700-750",IF($Y$24="Yes",'Data Tables'!AI12,'Data Tables'!AJ12),IF($Y$23="750-800",IF($Y$24="Yes",'Data Tables'!AI12,'Data Tables'!AJ12),IF($Y$23="800-850",IF($Y$24="Yes",'Data Tables'!AI12,'Data Tables'!AJ12),IF($Y$24="Yes",'Data Tables'!AI12,'Data Tables'!AJ12))))))))))))),IF($Y$21="Yare",(IF($Y$22="Freely draining",IF($Y$23="550-575",IF($Y$24="Yes",'Data Tables'!Y23,'Data Tables'!Z23),IF($Y$23="575-600",IF($Y$24="Yes",'Data Tables'!Y23,'Data Tables'!Z23),IF($Y$23="600-625",IF($Y$24="Yes",'Data Tables'!Y23,'Data Tables'!Z23),IF($Y$23="625-650",IF($Y$24="Yes",'Data Tables'!Y23,'Data Tables'!Z23),IF($Y$23="650-675",IF($Y$24="Yes",'Data Tables'!Y23,'Data Tables'!Z23),IF($Y$23="675-700",IF($Y$24="Yes",'Data Tables'!Y23,'Data Tables'!Z23),IF($Y$23="700-750",IF($Y$24="Yes",'Data Tables'!AE23,'Data Tables'!AF23),IF($Y$23="750-800",IF($Y$24="Yes",'Data Tables'!AE23,'Data Tables'!AF23),IF($Y$23="800-850",IF($Y$24="Yes",'Data Tables'!AE23,'Data Tables'!AF23),IF($Y$24="Yes",'Data Tables'!AE23,'Data Tables'!AF23)))))))))),IF($Y$22="Impermeable - drained for arable",IF($Y$23="550-575",IF($Y$24="Yes",'Data Tables'!AA23,'Data Tables'!AB23),IF($Y$23="575-600",IF($Y$24="Yes",'Data Tables'!AA23,'Data Tables'!AB23),IF($Y$23="600-625",IF($Y$24="Yes",'Data Tables'!AA23,'Data Tables'!AB23),IF($Y$23="625-650",IF($Y$24="Yes",'Data Tables'!AA23,'Data Tables'!AB23),IF($Y$23="650-675",IF($Y$24="Yes",'Data Tables'!AA23,'Data Tables'!AB23),IF($Y$23="675-700",IF($Y$24="Yes",'Data Tables'!AA23,'Data Tables'!AB23),IF($Y$23="700-750",IF($Y$24="Yes",'Data Tables'!AG23,'Data Tables'!AH23),IF($Y$23="750-800",IF($Y$24="Yes",'Data Tables'!AG23,'Data Tables'!AH23),IF($Y$23="800-850",IF($Y$24="Yes",'Data Tables'!AG23,'Data Tables'!AH23),IF($Y$24="Yes",'Data Tables'!AG23,'Data Tables'!AH23)))))))))),IF($Y$23="550-575",IF($Y$24="Yes",'Data Tables'!AC23,'Data Tables'!AD23),IF($Y$23="575-600",IF($Y$24="Yes",'Data Tables'!AC23,'Data Tables'!AD23),IF($Y$23="600-625",IF($Y$24="Yes",'Data Tables'!AC23,'Data Tables'!AD23),IF($Y$23="625-650",IF($Y$24="Yes",'Data Tables'!AC23,'Data Tables'!AD23),IF($Y$23="650-675",IF($Y$24="Yes",'Data Tables'!AC23,'Data Tables'!AD23),IF($Y$23="675-700",IF($Y$24="Yes",'Data Tables'!AC23,'Data Tables'!AD23),IF($Y$23="700-750",IF($Y$24="Yes",'Data Tables'!AI23,'Data Tables'!AJ23),IF($Y$23="750-800",IF($Y$24="Yes",'Data Tables'!AI23,'Data Tables'!AJ23),IF($Y$23="800-850",IF($Y$24="Yes",'Data Tables'!AI23,'Data Tables'!AJ23),IF($Y$24="Yes",'Data Tables'!AI23,'Data Tables'!AJ23))))))))))))),(IF($Y$22="Freely draining",IF($Y$23="550-575",IF($Y$24="Yes",'Data Tables'!S34,'Data Tables'!T34),IF($Y$23="575-600",IF($Y$24="Yes",'Data Tables'!S34,'Data Tables'!T34),IF($Y$23="600-625",IF($Y$24="Yes",'Data Tables'!Y34,'Data Tables'!Z34),IF($Y$23="625-650",IF($Y$24="Yes",'Data Tables'!Y34,'Data Tables'!Z34),IF($Y$23="650-675",IF($Y$24="Yes",'Data Tables'!Y34,'Data Tables'!Z34),IF($Y$23="675-700",IF($Y$24="Yes",'Data Tables'!Y34,'Data Tables'!Z34),IF($Y$23="700-750",IF($Y$24="Yes",'Data Tables'!AE34,'Data Tables'!AF34),IF($Y$23="750-800",IF($Y$24="Yes",'Data Tables'!AE34,'Data Tables'!AF34),IF($Y$23="800-850",IF($Y$24="Yes",'Data Tables'!AE34,'Data Tables'!AF34),IF($Y$24="Yes",'Data Tables'!AE34,'Data Tables'!AF34)))))))))),IF($Y$22="Impermeable - drained for arable",IF($Y$23="550-575",IF($Y$24="Yes",'Data Tables'!U34,'Data Tables'!V34),IF($Y$23="575-600",IF($Y$24="Yes",'Data Tables'!U34,'Data Tables'!V34),IF($Y$23="600-625",IF($Y$24="Yes",'Data Tables'!AA34,'Data Tables'!AB34),IF($Y$23="625-650",IF($Y$24="Yes",'Data Tables'!AA34,'Data Tables'!AB34),IF($Y$23="650-675",IF($Y$24="Yes",'Data Tables'!AA34,'Data Tables'!AB34),IF($Y$23="675-700",IF($Y$24="Yes",'Data Tables'!AA34,'Data Tables'!AB34),IF($Y$23="700-750",IF($Y$24="Yes",'Data Tables'!AG34,'Data Tables'!AH34),IF($Y$23="750-800",IF($Y$24="Yes",'Data Tables'!AG34,'Data Tables'!AH34),IF($Y$23="800-850",IF($Y$24="Yes",'Data Tables'!AG34,'Data Tables'!AH34),IF($Y$24="Yes",'Data Tables'!AG34,'Data Tables'!AH34)))))))))),IF($Y$23="550-575",IF($Y$24="Yes",'Data Tables'!W34,'Data Tables'!X34),IF($Y$23="575-600",IF($Y$24="Yes",'Data Tables'!W34,'Data Tables'!X34),IF($Y$23="600-625",IF($Y$24="Yes",'Data Tables'!AC34,'Data Tables'!AD34),IF($Y$23="625-650",IF($Y$24="Yes",'Data Tables'!AC34,'Data Tables'!AD34),IF($Y$23="650-675",IF($Y$24="Yes",'Data Tables'!AC34,'Data Tables'!AD34),IF($Y$23="675-700",IF($Y$24="Yes",'Data Tables'!AC34,'Data Tables'!AD34),IF($Y$23="700-750",IF($Y$24="Yes",'Data Tables'!AI34,'Data Tables'!AJ34),IF($Y$23="750-800",IF($Y$24="Yes",'Data Tables'!AI34,'Data Tables'!AJ34),IF($Y$23="800-850",IF($Y$24="Yes",'Data Tables'!AI34,'Data Tables'!AJ34),IF($Y$24="Yes",'Data Tables'!AI34,'Data Tables'!AJ34))))))))))))))),0),"")</f>
        <v/>
      </c>
      <c r="AB39" s="285" t="str">
        <f>IF($Y$16="Yes",IF($Y39="Yes",IF($Y$21="Wensum",(IF($Y$22="Freely draining",IF($Y$23="550-575",IF($Y$24="Yes",'Data Tables'!AM12,'Data Tables'!AN12),IF($Y$23="575-600",IF($Y$24="Yes",'Data Tables'!AM12,'Data Tables'!AN12),IF($Y$23="600-625",IF($Y$24="Yes",'Data Tables'!AM12,'Data Tables'!AN12),IF($Y$23="625-650",IF($Y$24="Yes",'Data Tables'!AM12,'Data Tables'!AN12),IF($Y$23="650-675",IF($Y$24="Yes",'Data Tables'!AM12,'Data Tables'!AN12),IF($Y$23="675-700",IF($Y$24="Yes",'Data Tables'!AM12,'Data Tables'!AN12),IF($Y$23="700-750",IF($Y$24="Yes",'Data Tables'!AS12,'Data Tables'!AT12),IF($Y$23="750-800",IF($Y$24="Yes",'Data Tables'!AS12,'Data Tables'!AT12),IF($Y$23="800-850",IF($Y$24="Yes",'Data Tables'!AS12,'Data Tables'!AT12),IF($Y$24="Yes",'Data Tables'!AS12,'Data Tables'!AT12)))))))))),IF($Y$22="Impermeable - drained for arable",IF($Y$23="550-575",IF($Y$24="Yes",'Data Tables'!AO12,'Data Tables'!AP12),IF($Y$23="575-600",IF($Y$24="Yes",'Data Tables'!AO12,'Data Tables'!AP12),IF($Y$23="600-625",IF($Y$24="Yes",'Data Tables'!AO12,'Data Tables'!AP12),IF($Y$23="625-650",IF($Y$24="Yes",'Data Tables'!AO12,'Data Tables'!AP12),IF($Y$23="650-675",IF($Y$24="Yes",'Data Tables'!AO12,'Data Tables'!AP12),IF($Y$23="675-700",IF($Y$24="Yes",'Data Tables'!AO12,'Data Tables'!AP12),IF($Y$23="700-750",IF($Y$24="Yes",'Data Tables'!AU12,'Data Tables'!AV12),IF($Y$23="750-800",IF($Y$24="Yes",'Data Tables'!AU12,'Data Tables'!AV12),IF($Y$23="800-850",IF($Y$24="Yes",'Data Tables'!AU12,'Data Tables'!AV12),IF($Y$24="Yes",'Data Tables'!AU12,'Data Tables'!AV12)))))))))),IF($Y$23="550-575",IF($Y$24="Yes",'Data Tables'!AQ12,'Data Tables'!AR12),IF($Y$23="575-600",IF($Y$24="Yes",'Data Tables'!AQ12,'Data Tables'!AR12),IF($Y$23="600-625",IF($Y$24="Yes",'Data Tables'!AQ12,'Data Tables'!AR12),IF($Y$23="625-650",IF($Y$24="Yes",'Data Tables'!AQ12,'Data Tables'!AR12),IF($Y$23="650-675",IF($Y$24="Yes",'Data Tables'!AQ12,'Data Tables'!AR12),IF($Y$23="675-700",IF($Y$24="Yes",'Data Tables'!AQ12,'Data Tables'!AR12),IF($Y$23="700-750",IF($Y$24="Yes",'Data Tables'!AW12,'Data Tables'!AX12),IF($Y$23="750-800",IF($Y$24="Yes",'Data Tables'!AW12,'Data Tables'!AX12),IF($Y$23="800-850",IF($Y$24="Yes",'Data Tables'!AW12,'Data Tables'!AX12),IF($Y$24="Yes",'Data Tables'!AW12,'Data Tables'!AX12))))))))))))),IF($Y$21="Yare",(IF($Y$22="Freely draining",IF($Y$23="550-575",IF($Y$24="Yes",'Data Tables'!AM23,'Data Tables'!AN23),IF($Y$23="575-600",IF($Y$24="Yes",'Data Tables'!AM23,'Data Tables'!AN23),IF($Y$23="600-625",IF($Y$24="Yes",'Data Tables'!AM23,'Data Tables'!AN23),IF($Y$23="625-650",IF($Y$24="Yes",'Data Tables'!AM23,'Data Tables'!AN23),IF($Y$23="650-675",IF($Y$24="Yes",'Data Tables'!AM23,'Data Tables'!AN23),IF($Y$23="675-700",IF($Y$24="Yes",'Data Tables'!AM23,'Data Tables'!AN23),IF($Y$23="700-750",IF($Y$24="Yes",'Data Tables'!AS23,'Data Tables'!AT23),IF($Y$23="750-800",IF($Y$24="Yes",'Data Tables'!AS23,'Data Tables'!AT23),IF($Y$23="800-850",IF($Y$24="Yes",'Data Tables'!AS23,'Data Tables'!AT23),IF($Y$24="Yes",'Data Tables'!AS23,'Data Tables'!AT23)))))))))),IF($Y$22="Impermeable - drained for arable",IF($Y$23="550-575",IF($Y$24="Yes",'Data Tables'!AO23,'Data Tables'!AP23),IF($Y$23="575-600",IF($Y$24="Yes",'Data Tables'!AO23,'Data Tables'!AP23),IF($Y$23="600-625",IF($Y$24="Yes",'Data Tables'!AO23,'Data Tables'!AP23),IF($Y$23="625-650",IF($Y$24="Yes",'Data Tables'!AO23,'Data Tables'!AP23),IF($Y$23="650-675",IF($Y$24="Yes",'Data Tables'!AO23,'Data Tables'!AP23),IF($Y$23="675-700",IF($Y$24="Yes",'Data Tables'!AO23,'Data Tables'!AP23),IF($Y$23="700-750",IF($Y$24="Yes",'Data Tables'!AU23,'Data Tables'!AV23),IF($Y$23="750-800",IF($Y$24="Yes",'Data Tables'!AU23,'Data Tables'!AV23),IF($Y$23="800-850",IF($Y$24="Yes",'Data Tables'!AU23,'Data Tables'!AV23),IF($Y$24="Yes",'Data Tables'!AU23,'Data Tables'!AV23)))))))))),IF($Y$23="550-575",IF($Y$24="Yes",'Data Tables'!AQ23,'Data Tables'!AR23),IF($Y$23="575-600",IF($Y$24="Yes",'Data Tables'!AQ23,'Data Tables'!AR23),IF($Y$23="600-625",IF($Y$24="Yes",'Data Tables'!AQ23,'Data Tables'!AR23),IF($Y$23="625-650",IF($Y$24="Yes",'Data Tables'!AQ23,'Data Tables'!AR23),IF($Y$23="650-675",IF($Y$24="Yes",'Data Tables'!AQ23,'Data Tables'!AR23),IF($Y$23="675-700",IF($Y$24="Yes",'Data Tables'!AQ23,'Data Tables'!AR23),IF($Y$23="700-750",IF($Y$24="Yes",'Data Tables'!AW23,'Data Tables'!AX23),IF($Y$23="750-800",IF($Y$24="Yes",'Data Tables'!AW23,'Data Tables'!AX23),IF($Y$23="800-850",IF($Y$24="Yes",'Data Tables'!AW23,'Data Tables'!AX23),IF($Y$24="Yes",'Data Tables'!AW23,'Data Tables'!AX23))))))))))))),(IF($Y$22="Freely draining",IF($Y$23="550-575",IF($Y$24="Yes",'Data Tables'!AG34,'Data Tables'!AH34),IF($Y$23="575-600",IF($Y$24="Yes",'Data Tables'!AG34,'Data Tables'!AH34),IF($Y$23="600-625",IF($Y$24="Yes",'Data Tables'!AM34,'Data Tables'!AN34),IF($Y$23="625-650",IF($Y$24="Yes",'Data Tables'!AM34,'Data Tables'!AN34),IF($Y$23="650-675",IF($Y$24="Yes",'Data Tables'!AM34,'Data Tables'!AN34),IF($Y$23="675-700",IF($Y$24="Yes",'Data Tables'!AM34,'Data Tables'!AN34),IF($Y$23="700-750",IF($Y$24="Yes",'Data Tables'!AS34,'Data Tables'!AT34),IF($Y$23="750-800",IF($Y$24="Yes",'Data Tables'!AS34,'Data Tables'!AT34),IF($Y$23="800-850",IF($Y$24="Yes",'Data Tables'!AS34,'Data Tables'!AT34),IF($Y$24="Yes",'Data Tables'!AS34,'Data Tables'!AT34)))))))))),IF($Y$22="Impermeable - drained for arable",IF($Y$23="550-575",IF($Y$24="Yes",'Data Tables'!AI34,'Data Tables'!AJ34),IF($Y$23="575-600",IF($Y$24="Yes",'Data Tables'!AI34,'Data Tables'!AJ34),IF($Y$23="600-625",IF($Y$24="Yes",'Data Tables'!AO34,'Data Tables'!AP34),IF($Y$23="625-650",IF($Y$24="Yes",'Data Tables'!AO34,'Data Tables'!AP34),IF($Y$23="650-675",IF($Y$24="Yes",'Data Tables'!AO34,'Data Tables'!AP34),IF($Y$23="675-700",IF($Y$24="Yes",'Data Tables'!AO34,'Data Tables'!AP34),IF($Y$23="700-750",IF($Y$24="Yes",'Data Tables'!AU34,'Data Tables'!AV34),IF($Y$23="750-800",IF($Y$24="Yes",'Data Tables'!AU34,'Data Tables'!AV34),IF($Y$23="800-850",IF($Y$24="Yes",'Data Tables'!AU34,'Data Tables'!AV34),IF($Y$24="Yes",'Data Tables'!AU34,'Data Tables'!AV34)))))))))),IF($Y$23="550-575",IF($Y$24="Yes",'Data Tables'!AK34,'Data Tables'!AL34),IF($Y$23="575-600",IF($Y$24="Yes",'Data Tables'!AK34,'Data Tables'!AL34),IF($Y$23="600-625",IF($Y$24="Yes",'Data Tables'!AQ34,'Data Tables'!AR34),IF($Y$23="625-650",IF($Y$24="Yes",'Data Tables'!AQ34,'Data Tables'!AR34),IF($Y$23="650-675",IF($Y$24="Yes",'Data Tables'!AQ34,'Data Tables'!AR34),IF($Y$23="675-700",IF($Y$24="Yes",'Data Tables'!AQ34,'Data Tables'!AR34),IF($Y$23="700-750",IF($Y$24="Yes",'Data Tables'!AW34,'Data Tables'!AX34),IF($Y$23="750-800",IF($Y$24="Yes",'Data Tables'!AW34,'Data Tables'!AX34),IF($Y$23="800-850",IF($Y$24="Yes",'Data Tables'!AW34,'Data Tables'!AX34),IF($Y$24="Yes",'Data Tables'!AW34,'Data Tables'!AX34))))))))))))))),0),"")</f>
        <v/>
      </c>
      <c r="AC39" s="313"/>
      <c r="AF39" s="94"/>
      <c r="AG39" s="94"/>
      <c r="AH39" s="94"/>
      <c r="AI39" s="94"/>
      <c r="AJ39" s="94"/>
      <c r="AK39" s="94"/>
      <c r="AL39" s="94"/>
      <c r="AM39" s="94"/>
      <c r="AN39" s="94"/>
      <c r="AO39" s="94"/>
      <c r="AP39" s="94"/>
      <c r="AQ39" s="94"/>
      <c r="AR39" s="94"/>
      <c r="AT39" s="94"/>
      <c r="AU39" s="94"/>
      <c r="AV39" s="94"/>
      <c r="AW39" s="94"/>
      <c r="AX39" s="94"/>
      <c r="AY39" s="94"/>
      <c r="AZ39" s="94"/>
      <c r="BA39" s="94"/>
    </row>
    <row r="40" spans="2:53" ht="15.95" customHeight="1" x14ac:dyDescent="0.25">
      <c r="B40" s="46"/>
      <c r="C40" s="42"/>
      <c r="D40" s="227"/>
      <c r="E40" s="432" t="str">
        <f>'Stage 2'!F35</f>
        <v>Allotments and city farms</v>
      </c>
      <c r="F40" s="432"/>
      <c r="G40" s="432"/>
      <c r="H40" s="432"/>
      <c r="I40" s="432"/>
      <c r="J40" s="49"/>
      <c r="K40" s="290" t="str">
        <f>IF('Stage 2'!K35&gt;0,'Data Tables'!O3,"")</f>
        <v/>
      </c>
      <c r="L40" s="269"/>
      <c r="M40" s="273"/>
      <c r="N40" s="238" t="s">
        <v>62</v>
      </c>
      <c r="O40" s="240" t="s">
        <v>81</v>
      </c>
      <c r="P40" s="258"/>
      <c r="Q40" s="49"/>
      <c r="R40" s="49"/>
      <c r="S40" s="49"/>
      <c r="T40" s="432" t="str">
        <f t="shared" si="0"/>
        <v>Allotments and city farms</v>
      </c>
      <c r="U40" s="432"/>
      <c r="V40" s="432"/>
      <c r="W40" s="432"/>
      <c r="X40" s="432"/>
      <c r="Y40" s="238" t="s">
        <v>62</v>
      </c>
      <c r="Z40" s="49"/>
      <c r="AA40" s="285" t="str">
        <f>IF($Y$16="Yes",(IF(Y40="Yes",'Data Tables'!O3,0)),"")</f>
        <v/>
      </c>
      <c r="AB40" s="285" t="str">
        <f>IF($Y$16="Yes",(IF(Z40="Yes",'Data Tables'!P3,0)),"")</f>
        <v/>
      </c>
      <c r="AC40" s="313"/>
    </row>
    <row r="41" spans="2:53" ht="15.95" customHeight="1" x14ac:dyDescent="0.25">
      <c r="B41" s="46"/>
      <c r="C41" s="42"/>
      <c r="D41" s="227"/>
      <c r="E41" s="432" t="str">
        <f>'Stage 2'!F36</f>
        <v>Woodland (e.g. conifer, mixed, broad-leaved)</v>
      </c>
      <c r="F41" s="432"/>
      <c r="G41" s="432"/>
      <c r="H41" s="432"/>
      <c r="I41" s="432"/>
      <c r="J41" s="49"/>
      <c r="K41" s="290" t="str">
        <f>IF('Stage 2'!K36&gt;0,'Data Tables'!O5,"")</f>
        <v/>
      </c>
      <c r="L41" s="269"/>
      <c r="M41" s="273"/>
      <c r="N41" s="238" t="s">
        <v>62</v>
      </c>
      <c r="O41" s="240" t="s">
        <v>81</v>
      </c>
      <c r="P41" s="258"/>
      <c r="Q41" s="49"/>
      <c r="R41" s="49"/>
      <c r="S41" s="49"/>
      <c r="T41" s="432" t="str">
        <f t="shared" si="0"/>
        <v>Woodland (e.g. conifer, mixed, broad-leaved)</v>
      </c>
      <c r="U41" s="432"/>
      <c r="V41" s="432"/>
      <c r="W41" s="432"/>
      <c r="X41" s="432"/>
      <c r="Y41" s="238" t="s">
        <v>62</v>
      </c>
      <c r="Z41" s="49"/>
      <c r="AA41" s="285" t="str">
        <f>IF($Y$16="Yes",(IF(Y41="Yes",'Data Tables'!O5,0)),"")</f>
        <v/>
      </c>
      <c r="AB41" s="285" t="str">
        <f>IF($Y$16="Yes",(IF(Z41="Yes",'Data Tables'!P5,0)),"")</f>
        <v/>
      </c>
      <c r="AC41" s="313"/>
    </row>
    <row r="42" spans="2:53" ht="15.95" customHeight="1" x14ac:dyDescent="0.25">
      <c r="B42" s="46"/>
      <c r="C42" s="42"/>
      <c r="D42" s="227"/>
      <c r="E42" s="432" t="str">
        <f>'Stage 2'!F37</f>
        <v>Greenspace</v>
      </c>
      <c r="F42" s="432"/>
      <c r="G42" s="432"/>
      <c r="H42" s="432"/>
      <c r="I42" s="432"/>
      <c r="J42" s="49"/>
      <c r="K42" s="290" t="str">
        <f>IF('Stage 2'!K37&gt;0,'Data Tables'!O4,"")</f>
        <v/>
      </c>
      <c r="L42" s="269"/>
      <c r="M42" s="273"/>
      <c r="N42" s="238" t="s">
        <v>62</v>
      </c>
      <c r="O42" s="240" t="s">
        <v>81</v>
      </c>
      <c r="P42" s="258"/>
      <c r="Q42" s="49"/>
      <c r="R42" s="49"/>
      <c r="S42" s="49"/>
      <c r="T42" s="432" t="str">
        <f t="shared" si="0"/>
        <v>Greenspace</v>
      </c>
      <c r="U42" s="432"/>
      <c r="V42" s="432"/>
      <c r="W42" s="432"/>
      <c r="X42" s="432"/>
      <c r="Y42" s="238" t="s">
        <v>62</v>
      </c>
      <c r="Z42" s="49"/>
      <c r="AA42" s="285" t="str">
        <f>IF($Y$16="Yes",(IF(Y42="Yes",'Data Tables'!O4,0)),"")</f>
        <v/>
      </c>
      <c r="AB42" s="285" t="str">
        <f>IF($Y$16="Yes",(IF(Z42="Yes",'Data Tables'!P4,0)),"")</f>
        <v/>
      </c>
      <c r="AC42" s="313"/>
    </row>
    <row r="43" spans="2:53" ht="15.95" customHeight="1" x14ac:dyDescent="0.25">
      <c r="B43" s="46"/>
      <c r="C43" s="42"/>
      <c r="D43" s="227"/>
      <c r="E43" s="432" t="str">
        <f>'Stage 2'!F38</f>
        <v>Shrub / heathland / bracken / bog</v>
      </c>
      <c r="F43" s="432"/>
      <c r="G43" s="432"/>
      <c r="H43" s="432"/>
      <c r="I43" s="432"/>
      <c r="J43" s="49"/>
      <c r="K43" s="290" t="str">
        <f>IF('Stage 2'!K38&gt;0,'Data Tables'!O6,"")</f>
        <v/>
      </c>
      <c r="L43" s="269"/>
      <c r="M43" s="273"/>
      <c r="N43" s="238" t="s">
        <v>62</v>
      </c>
      <c r="O43" s="240" t="s">
        <v>81</v>
      </c>
      <c r="P43" s="258"/>
      <c r="Q43" s="49"/>
      <c r="R43" s="49"/>
      <c r="S43" s="49"/>
      <c r="T43" s="432" t="str">
        <f t="shared" si="0"/>
        <v>Shrub / heathland / bracken / bog</v>
      </c>
      <c r="U43" s="432"/>
      <c r="V43" s="432"/>
      <c r="W43" s="432"/>
      <c r="X43" s="432"/>
      <c r="Y43" s="238" t="s">
        <v>62</v>
      </c>
      <c r="Z43" s="49"/>
      <c r="AA43" s="285" t="str">
        <f>IF($Y$16="Yes",(IF(Y43="Yes",'Data Tables'!O6,0)),"")</f>
        <v/>
      </c>
      <c r="AB43" s="285" t="str">
        <f>IF($Y$16="Yes",(IF(Z43="Yes",'Data Tables'!P6,0)),"")</f>
        <v/>
      </c>
      <c r="AC43" s="313"/>
    </row>
    <row r="44" spans="2:53" ht="15" customHeight="1" x14ac:dyDescent="0.25">
      <c r="B44" s="46"/>
      <c r="C44" s="42"/>
      <c r="D44" s="227"/>
      <c r="E44" s="432" t="str">
        <f>'Stage 2'!F39</f>
        <v>Water</v>
      </c>
      <c r="F44" s="432"/>
      <c r="G44" s="432"/>
      <c r="H44" s="432"/>
      <c r="I44" s="432"/>
      <c r="J44" s="49"/>
      <c r="K44" s="290" t="str">
        <f>IF('Stage 2'!K39&gt;0,'Data Tables'!O7,"")</f>
        <v/>
      </c>
      <c r="L44" s="269"/>
      <c r="M44" s="273"/>
      <c r="N44" s="238" t="s">
        <v>62</v>
      </c>
      <c r="O44" s="240" t="s">
        <v>81</v>
      </c>
      <c r="P44" s="258"/>
      <c r="Q44" s="49"/>
      <c r="R44" s="49"/>
      <c r="S44" s="49"/>
      <c r="T44" s="432" t="str">
        <f t="shared" si="0"/>
        <v>Water</v>
      </c>
      <c r="U44" s="432"/>
      <c r="V44" s="432"/>
      <c r="W44" s="432"/>
      <c r="X44" s="432"/>
      <c r="Y44" s="238" t="s">
        <v>62</v>
      </c>
      <c r="Z44" s="49"/>
      <c r="AA44" s="285" t="str">
        <f>IF($Y$16="Yes",(IF(Y44="Yes",'Data Tables'!O7,0)),"")</f>
        <v/>
      </c>
      <c r="AB44" s="285" t="str">
        <f>IF($Y$16="Yes",(IF(Z44="Yes",'Data Tables'!P7,0)),"")</f>
        <v/>
      </c>
      <c r="AC44" s="313"/>
    </row>
    <row r="45" spans="2:53" ht="15.95" customHeight="1" x14ac:dyDescent="0.25">
      <c r="B45" s="46"/>
      <c r="C45" s="42"/>
      <c r="D45" s="227"/>
      <c r="E45" s="49"/>
      <c r="F45" s="38"/>
      <c r="G45" s="49"/>
      <c r="H45" s="49"/>
      <c r="I45" s="49"/>
      <c r="J45" s="49"/>
      <c r="K45" s="269"/>
      <c r="L45" s="269"/>
      <c r="M45" s="269"/>
      <c r="N45" s="49"/>
      <c r="O45" s="246"/>
      <c r="P45" s="258"/>
      <c r="Q45" s="49"/>
      <c r="R45" s="49"/>
      <c r="S45" s="49"/>
      <c r="T45" s="49"/>
      <c r="U45" s="49"/>
      <c r="V45" s="49"/>
      <c r="W45" s="49"/>
      <c r="X45" s="49"/>
      <c r="Y45" s="144" t="s">
        <v>436</v>
      </c>
      <c r="Z45" s="144" t="s">
        <v>437</v>
      </c>
      <c r="AA45" s="49"/>
      <c r="AB45" s="49"/>
      <c r="AC45" s="313"/>
    </row>
    <row r="46" spans="2:53" ht="17.45" customHeight="1" x14ac:dyDescent="0.25">
      <c r="B46" s="46"/>
      <c r="C46" s="42"/>
      <c r="D46" s="227"/>
      <c r="E46" s="445" t="s">
        <v>89</v>
      </c>
      <c r="F46" s="445"/>
      <c r="G46" s="445"/>
      <c r="H46" s="445"/>
      <c r="I46" s="445"/>
      <c r="J46" s="49"/>
      <c r="K46" s="273">
        <f>IF(K16="Yes",(IF(N22="Yes",K22,0)+IF(N27="Yes",K27,0)+IF(N28="Yes",K28,0)+IF(N29="Yes",K29,0)+IF(N30="Yes",K30,0)+IF(N31="Yes",K31,0)+IF(N32="Yes",K32,0)+IF(N33="Yes",K33,0)+IF(N34="Yes",K34,0)+IF(N35="Yes",K35,0)+IF(N36="Yes",K36,0)+IF(N37="Yes",K37,0)+IF(N38="Yes",K38,0)+IF(N39="Yes",K39,0)+IF(N40="Yes",K40,0)+IF(N41="Yes",K41,0)+IF(N42="Yes",K42,0)+IF(N43="Yes",K43,0)+IF(N44="Yes",K44,0))/COUNTIF(N22:N44,"Yes"),0)</f>
        <v>0</v>
      </c>
      <c r="L46" s="269"/>
      <c r="M46" s="273">
        <f>IF(K16="Yes",(IF(N22="Yes",M22,0)+IF(N27="Yes",M27,0)+IF(N28="Yes",M28,0)+IF(N29="Yes",M29,0)+IF(N30="Yes",M30,0)+IF(N31="Yes",M31,0)+IF(N32="Yes",M32,0)+IF(N33="Yes",M33,0)+IF(N34="Yes",M34,0)+IF(N35="Yes",M35,0)+IF(N36="Yes",M36,0)+IF(N37="Yes",M37,0)+IF(N38="Yes",M38,0)+IF(N39="Yes",M39,0)+IF(N40="Yes",M40,0)+IF(N41="Yes",M41,0)+IF(N42="Yes",M42,0)+IF(N43="Yes",M43,0)+IF(N44="Yes",M44,0))/COUNTIF(N22:N44,"Yes"),0)</f>
        <v>0</v>
      </c>
      <c r="N46" s="49"/>
      <c r="O46" s="246"/>
      <c r="P46" s="258"/>
      <c r="Q46" s="49"/>
      <c r="R46" s="49"/>
      <c r="S46" s="49"/>
      <c r="T46" s="445" t="s">
        <v>90</v>
      </c>
      <c r="U46" s="445"/>
      <c r="V46" s="445"/>
      <c r="W46" s="445"/>
      <c r="X46" s="445"/>
      <c r="Y46" s="293">
        <f>IF(Y16="Yes",SUM(AA27:AA44)/(COUNTIF(Y27:Y44,"Yes")),0)</f>
        <v>0</v>
      </c>
      <c r="Z46" s="293">
        <f>IF(Y16="Yes",SUM(AB27:AB44)/(COUNTIF(Y27:Y44,"Yes")),0)</f>
        <v>0</v>
      </c>
      <c r="AA46" s="226"/>
      <c r="AB46" s="226"/>
      <c r="AC46" s="313"/>
    </row>
    <row r="47" spans="2:53" ht="15.95" customHeight="1" x14ac:dyDescent="0.25">
      <c r="B47" s="46"/>
      <c r="C47" s="42"/>
      <c r="D47" s="227"/>
      <c r="E47" s="281"/>
      <c r="F47" s="281"/>
      <c r="G47" s="281"/>
      <c r="H47" s="281"/>
      <c r="I47" s="281"/>
      <c r="J47" s="49"/>
      <c r="K47" s="269"/>
      <c r="L47" s="269"/>
      <c r="M47" s="269"/>
      <c r="N47" s="49"/>
      <c r="O47" s="246"/>
      <c r="P47" s="49"/>
      <c r="Q47" s="49"/>
      <c r="R47" s="49"/>
      <c r="S47" s="49"/>
      <c r="T47" s="281"/>
      <c r="U47" s="281"/>
      <c r="V47" s="281"/>
      <c r="W47" s="281"/>
      <c r="X47" s="281"/>
      <c r="Y47" s="316"/>
      <c r="Z47" s="49"/>
      <c r="AA47" s="316"/>
      <c r="AB47" s="316"/>
      <c r="AC47" s="313"/>
    </row>
    <row r="48" spans="2:53" ht="15.95" customHeight="1" x14ac:dyDescent="0.25">
      <c r="B48" s="46"/>
      <c r="C48" s="42"/>
      <c r="D48" s="227"/>
      <c r="E48" s="49"/>
      <c r="F48" s="38"/>
      <c r="G48" s="49"/>
      <c r="H48" s="49"/>
      <c r="I48" s="49"/>
      <c r="J48" s="49"/>
      <c r="K48" s="269"/>
      <c r="L48" s="269"/>
      <c r="M48" s="269"/>
      <c r="N48" s="49"/>
      <c r="O48" s="246"/>
      <c r="P48" s="144" t="s">
        <v>436</v>
      </c>
      <c r="Q48" s="144"/>
      <c r="R48" s="144" t="s">
        <v>437</v>
      </c>
      <c r="S48" s="49"/>
      <c r="T48" s="49"/>
      <c r="U48" s="49"/>
      <c r="V48" s="49"/>
      <c r="W48" s="49"/>
      <c r="X48" s="49"/>
      <c r="Y48" s="49"/>
      <c r="Z48" s="49"/>
      <c r="AA48" s="49"/>
      <c r="AB48" s="49"/>
      <c r="AC48" s="313"/>
    </row>
    <row r="49" spans="2:29" ht="15.95" customHeight="1" x14ac:dyDescent="0.25">
      <c r="B49" s="46"/>
      <c r="C49" s="42"/>
      <c r="D49" s="227"/>
      <c r="E49" s="49"/>
      <c r="F49" s="38"/>
      <c r="G49" s="49"/>
      <c r="H49" s="49"/>
      <c r="I49" s="445" t="s">
        <v>92</v>
      </c>
      <c r="J49" s="445"/>
      <c r="K49" s="445"/>
      <c r="L49" s="445"/>
      <c r="M49" s="445"/>
      <c r="N49" s="445"/>
      <c r="O49" s="445"/>
      <c r="P49" s="273" t="str">
        <f>IF(K46+Y46&gt;0,K46+Y46,"")</f>
        <v/>
      </c>
      <c r="Q49" s="269"/>
      <c r="R49" s="273" t="str">
        <f>IF(M46+Z46&gt;0,M46+Z46,"")</f>
        <v/>
      </c>
      <c r="S49" s="316"/>
      <c r="T49" s="49"/>
      <c r="U49" s="49"/>
      <c r="V49" s="49"/>
      <c r="W49" s="49"/>
      <c r="X49" s="49"/>
      <c r="Y49" s="49"/>
      <c r="Z49" s="49"/>
      <c r="AA49" s="49"/>
      <c r="AB49" s="49"/>
      <c r="AC49" s="313"/>
    </row>
    <row r="50" spans="2:29" ht="15.95" customHeight="1" thickBot="1" x14ac:dyDescent="0.3">
      <c r="B50" s="46"/>
      <c r="C50" s="42"/>
      <c r="D50" s="317"/>
      <c r="E50" s="247"/>
      <c r="F50" s="247"/>
      <c r="G50" s="247"/>
      <c r="H50" s="247"/>
      <c r="I50" s="247"/>
      <c r="J50" s="247"/>
      <c r="K50" s="247"/>
      <c r="L50" s="247"/>
      <c r="M50" s="247"/>
      <c r="N50" s="247"/>
      <c r="O50" s="247"/>
      <c r="P50" s="247"/>
      <c r="Q50" s="247"/>
      <c r="R50" s="247"/>
      <c r="S50" s="49"/>
      <c r="T50" s="49"/>
      <c r="U50" s="49"/>
      <c r="V50" s="318"/>
      <c r="W50" s="318"/>
      <c r="X50" s="318"/>
      <c r="Y50" s="318"/>
      <c r="Z50" s="318"/>
      <c r="AA50" s="318"/>
      <c r="AB50" s="318"/>
      <c r="AC50" s="319"/>
    </row>
    <row r="51" spans="2:29" ht="11.45" customHeight="1" x14ac:dyDescent="0.2">
      <c r="B51" s="46"/>
      <c r="C51" s="42"/>
      <c r="D51" s="49"/>
      <c r="E51" s="49"/>
      <c r="F51" s="49"/>
      <c r="G51" s="49"/>
      <c r="H51" s="49"/>
      <c r="I51" s="49"/>
      <c r="J51" s="49"/>
      <c r="K51" s="49"/>
      <c r="L51" s="49"/>
      <c r="M51" s="49"/>
      <c r="N51" s="49"/>
      <c r="O51" s="49"/>
      <c r="P51" s="49"/>
      <c r="Q51" s="49"/>
      <c r="R51" s="49"/>
      <c r="S51" s="49"/>
      <c r="T51" s="49"/>
      <c r="U51" s="320"/>
      <c r="V51" s="66"/>
      <c r="W51" s="66"/>
      <c r="X51" s="66"/>
      <c r="Y51" s="66"/>
      <c r="Z51" s="66"/>
      <c r="AA51" s="66"/>
      <c r="AB51" s="66"/>
      <c r="AC51" s="66"/>
    </row>
    <row r="52" spans="2:29" ht="12.6" customHeight="1" x14ac:dyDescent="0.2">
      <c r="B52" s="46"/>
      <c r="C52" s="42"/>
      <c r="D52" s="49"/>
      <c r="E52" s="48" t="s">
        <v>12</v>
      </c>
      <c r="F52" s="374" t="s">
        <v>444</v>
      </c>
      <c r="G52" s="374"/>
      <c r="H52" s="374"/>
      <c r="I52" s="374"/>
      <c r="J52" s="374"/>
      <c r="K52" s="144" t="s">
        <v>2</v>
      </c>
      <c r="L52" s="144"/>
      <c r="M52" s="144" t="s">
        <v>2</v>
      </c>
      <c r="N52" s="144" t="s">
        <v>3</v>
      </c>
      <c r="O52" s="49"/>
      <c r="P52" s="49"/>
      <c r="Q52" s="49"/>
      <c r="R52" s="49"/>
      <c r="S52" s="49"/>
      <c r="T52" s="49"/>
      <c r="U52" s="320"/>
      <c r="V52" s="66"/>
      <c r="W52" s="66"/>
      <c r="X52" s="66"/>
      <c r="Y52" s="66"/>
      <c r="Z52" s="66"/>
      <c r="AA52" s="66"/>
      <c r="AB52" s="66"/>
      <c r="AC52" s="66"/>
    </row>
    <row r="53" spans="2:29" ht="12.95" customHeight="1" x14ac:dyDescent="0.2">
      <c r="B53" s="46"/>
      <c r="C53" s="42"/>
      <c r="D53" s="49"/>
      <c r="E53" s="49"/>
      <c r="F53" s="49"/>
      <c r="G53" s="49"/>
      <c r="H53" s="49"/>
      <c r="I53" s="49"/>
      <c r="J53" s="49"/>
      <c r="K53" s="144" t="s">
        <v>436</v>
      </c>
      <c r="L53" s="144"/>
      <c r="M53" s="144" t="s">
        <v>437</v>
      </c>
      <c r="N53" s="49"/>
      <c r="O53" s="49"/>
      <c r="P53" s="49"/>
      <c r="Q53" s="49"/>
      <c r="R53" s="49"/>
      <c r="S53" s="49"/>
      <c r="T53" s="49"/>
      <c r="U53" s="320"/>
      <c r="V53" s="66"/>
      <c r="W53" s="66"/>
      <c r="X53" s="66"/>
      <c r="Y53" s="66"/>
      <c r="Z53" s="66"/>
      <c r="AA53" s="66"/>
      <c r="AB53" s="66"/>
      <c r="AC53" s="66"/>
    </row>
    <row r="54" spans="2:29" ht="12.95" customHeight="1" x14ac:dyDescent="0.2">
      <c r="B54" s="46"/>
      <c r="C54" s="42"/>
      <c r="D54" s="49"/>
      <c r="E54" s="432" t="s">
        <v>32</v>
      </c>
      <c r="F54" s="432"/>
      <c r="G54" s="432"/>
      <c r="H54" s="432"/>
      <c r="I54" s="432"/>
      <c r="J54" s="49"/>
      <c r="K54" s="321" t="e">
        <f>(1/(((P49-(-IF(K62&gt;0,K62,8))))/$K$10))</f>
        <v>#VALUE!</v>
      </c>
      <c r="L54" s="322"/>
      <c r="M54" s="321" t="e">
        <f>(1/(((R49-(-IF(M62&gt;0,M62,930))))/$K$11))</f>
        <v>#VALUE!</v>
      </c>
      <c r="N54" s="240" t="s">
        <v>17</v>
      </c>
      <c r="O54" s="49"/>
      <c r="P54" s="49"/>
      <c r="Q54" s="49"/>
      <c r="R54" s="49"/>
      <c r="S54" s="49"/>
      <c r="T54" s="49"/>
      <c r="U54" s="320"/>
      <c r="V54" s="66"/>
      <c r="W54" s="66"/>
      <c r="X54" s="66"/>
      <c r="Y54" s="66"/>
      <c r="Z54" s="66"/>
      <c r="AA54" s="66"/>
      <c r="AB54" s="66"/>
      <c r="AC54" s="66"/>
    </row>
    <row r="55" spans="2:29" ht="14.45" customHeight="1" x14ac:dyDescent="0.2">
      <c r="B55" s="46"/>
      <c r="C55" s="42"/>
      <c r="D55" s="49"/>
      <c r="E55" s="432" t="s">
        <v>489</v>
      </c>
      <c r="F55" s="432"/>
      <c r="G55" s="432"/>
      <c r="H55" s="432"/>
      <c r="I55" s="432"/>
      <c r="J55" s="49"/>
      <c r="K55" s="321" t="e">
        <f>(K10/($P$49-(IF(K16="Yes",IF('Stage 2'!$K$14="550-575",'Data Tables'!AK39,IF('Stage 2'!$K$14="575-600",'Data Tables'!AK40,IF('Stage 2'!$K$14="600-625",'Data Tables'!AK41,IF('Stage 2'!$K$14="625-650",'Data Tables'!AK42,IF('Stage 2'!$K$14="650-675",'Data Tables'!AK43,IF('Stage 2'!$K$14="675-700",'Data Tables'!AK44,IF('Stage 2'!$K$14="700-750",'Data Tables'!AK45,IF('Stage 2'!$K$14="750-800",'Data Tables'!AK46,IF('Stage 2'!$K$14="800-850",'Data Tables'!AK47,'Data Tables'!AK48))))))))),IF($Y$23="550-575",'Data Tables'!AK39,IF($Y$23="575-600",'Data Tables'!AK40,IF($Y$23="600-625",'Data Tables'!AK41,IF($Y$23="625-650",'Data Tables'!AK42,IF($Y$23="650-675",'Data Tables'!AK43,IF($Y$23="675-700",'Data Tables'!AK44,IF($Y$23="700-750",'Data Tables'!AK45,IF($Y$23="750-800",'Data Tables'!AK46,IF($Y$23="800-850",'Data Tables'!AK47,'Data Tables'!AK48)))))))))))))</f>
        <v>#VALUE!</v>
      </c>
      <c r="L55" s="322"/>
      <c r="M55" s="321" t="e">
        <f>(K11/($R$49-(IF(K16="Yes",IF('Stage 2'!$K$14="550-575",'Data Tables'!AL39,IF('Stage 2'!$K$14="575-600",'Data Tables'!AL40,IF('Stage 2'!$K$14="600-625",'Data Tables'!AL41,IF('Stage 2'!$K$14="625-650",'Data Tables'!AL42,IF('Stage 2'!$K$14="650-675",'Data Tables'!AL43,IF('Stage 2'!$K$14="675-700",'Data Tables'!AL44,IF('Stage 2'!$K$14="700-750",'Data Tables'!AL45,IF('Stage 2'!$K$14="750-800",'Data Tables'!AL46,IF('Stage 2'!$K$14="800-850",'Data Tables'!AL47,'Data Tables'!AL48))))))))),IF($Y$23="550-575",'Data Tables'!AL39,IF($Y$23="575-600",'Data Tables'!AL40,IF($Y$23="600-625",'Data Tables'!AL41,IF($Y$23="625-650",'Data Tables'!AL42,IF($Y$23="650-675",'Data Tables'!AL43,IF($Y$23="675-700",'Data Tables'!AL44,IF($Y$23="700-750",'Data Tables'!AL45,IF($Y$23="750-800",'Data Tables'!AL46,IF($Y$23="800-850",'Data Tables'!AL47,'Data Tables'!AL48)))))))))))))</f>
        <v>#VALUE!</v>
      </c>
      <c r="N55" s="240" t="s">
        <v>17</v>
      </c>
      <c r="O55" s="49"/>
      <c r="P55" s="49"/>
      <c r="Q55" s="49"/>
      <c r="R55" s="49"/>
      <c r="S55" s="49"/>
      <c r="T55" s="49"/>
      <c r="U55" s="320"/>
      <c r="V55" s="66"/>
      <c r="W55" s="66"/>
      <c r="X55" s="66"/>
      <c r="Y55" s="66"/>
      <c r="Z55" s="66"/>
      <c r="AA55" s="66"/>
      <c r="AB55" s="66"/>
      <c r="AC55" s="66"/>
    </row>
    <row r="56" spans="2:29" ht="14.45" customHeight="1" x14ac:dyDescent="0.2">
      <c r="B56" s="46"/>
      <c r="C56" s="42"/>
      <c r="D56" s="49"/>
      <c r="E56" s="432" t="s">
        <v>400</v>
      </c>
      <c r="F56" s="432"/>
      <c r="G56" s="432"/>
      <c r="H56" s="432"/>
      <c r="I56" s="432"/>
      <c r="J56" s="144"/>
      <c r="K56" s="321" t="e">
        <f>(1/(($P$49-'Data Tables'!O7)/$K$10))</f>
        <v>#VALUE!</v>
      </c>
      <c r="L56" s="322"/>
      <c r="M56" s="321" t="e">
        <f>(1/(($R$49-'Data Tables'!P7)/$K$11))</f>
        <v>#VALUE!</v>
      </c>
      <c r="N56" s="240" t="s">
        <v>17</v>
      </c>
      <c r="O56" s="240"/>
      <c r="P56" s="264"/>
      <c r="Q56" s="264"/>
      <c r="R56" s="240"/>
      <c r="S56" s="240"/>
      <c r="T56" s="49"/>
      <c r="U56" s="320"/>
      <c r="V56" s="66"/>
      <c r="W56" s="66"/>
      <c r="X56" s="66"/>
      <c r="Y56" s="66"/>
      <c r="Z56" s="66"/>
      <c r="AA56" s="66"/>
      <c r="AB56" s="66"/>
      <c r="AC56" s="66"/>
    </row>
    <row r="57" spans="2:29" ht="14.45" customHeight="1" x14ac:dyDescent="0.2">
      <c r="B57" s="46"/>
      <c r="C57" s="42"/>
      <c r="D57" s="49"/>
      <c r="E57" s="432" t="s">
        <v>34</v>
      </c>
      <c r="F57" s="432"/>
      <c r="G57" s="432"/>
      <c r="H57" s="432"/>
      <c r="I57" s="432"/>
      <c r="J57" s="144"/>
      <c r="K57" s="321" t="e">
        <f>(1/(($P$49-'Data Tables'!O5)/$K$10))</f>
        <v>#VALUE!</v>
      </c>
      <c r="L57" s="322"/>
      <c r="M57" s="321" t="e">
        <f>(1/(($R$49-'Data Tables'!P5)/$K$11))</f>
        <v>#VALUE!</v>
      </c>
      <c r="N57" s="240" t="s">
        <v>17</v>
      </c>
      <c r="O57" s="240"/>
      <c r="P57" s="264"/>
      <c r="Q57" s="264"/>
      <c r="R57" s="240"/>
      <c r="S57" s="240"/>
      <c r="T57" s="49"/>
      <c r="U57" s="320"/>
      <c r="V57" s="66"/>
      <c r="W57" s="66"/>
      <c r="X57" s="66"/>
      <c r="Y57" s="66"/>
      <c r="Z57" s="66"/>
      <c r="AA57" s="66"/>
      <c r="AB57" s="66"/>
      <c r="AC57" s="66"/>
    </row>
    <row r="58" spans="2:29" ht="14.45" customHeight="1" x14ac:dyDescent="0.2">
      <c r="B58" s="46"/>
      <c r="C58" s="42"/>
      <c r="D58" s="49"/>
      <c r="E58" s="432" t="s">
        <v>245</v>
      </c>
      <c r="F58" s="432"/>
      <c r="G58" s="432"/>
      <c r="H58" s="432"/>
      <c r="I58" s="432"/>
      <c r="J58" s="144"/>
      <c r="K58" s="321" t="e">
        <f>(1/(($P$49-'Data Tables'!O6)/$K$10))</f>
        <v>#VALUE!</v>
      </c>
      <c r="L58" s="322"/>
      <c r="M58" s="321" t="e">
        <f>(1/(($R$49-'Data Tables'!P6)/$K$11))</f>
        <v>#VALUE!</v>
      </c>
      <c r="N58" s="240" t="s">
        <v>17</v>
      </c>
      <c r="O58" s="240"/>
      <c r="P58" s="264"/>
      <c r="Q58" s="264"/>
      <c r="R58" s="240"/>
      <c r="S58" s="240"/>
      <c r="T58" s="49"/>
      <c r="U58" s="320"/>
      <c r="V58" s="66"/>
      <c r="W58" s="66"/>
      <c r="X58" s="66"/>
      <c r="Y58" s="66"/>
      <c r="Z58" s="66"/>
      <c r="AA58" s="66"/>
      <c r="AB58" s="66"/>
      <c r="AC58" s="66"/>
    </row>
    <row r="59" spans="2:29" ht="14.45" customHeight="1" x14ac:dyDescent="0.2">
      <c r="B59" s="46"/>
      <c r="C59" s="42"/>
      <c r="D59" s="49"/>
      <c r="E59" s="432" t="s">
        <v>439</v>
      </c>
      <c r="F59" s="432"/>
      <c r="G59" s="432"/>
      <c r="H59" s="432"/>
      <c r="I59" s="432"/>
      <c r="J59" s="144"/>
      <c r="K59" s="321" t="e">
        <f>(1/(($P$49-'Data Tables'!O4)/$K$10))</f>
        <v>#VALUE!</v>
      </c>
      <c r="L59" s="322"/>
      <c r="M59" s="321" t="e">
        <f>(1/(($R$49-'Data Tables'!P4)/$K$11))</f>
        <v>#VALUE!</v>
      </c>
      <c r="N59" s="240" t="s">
        <v>17</v>
      </c>
      <c r="O59" s="240"/>
      <c r="P59" s="264"/>
      <c r="Q59" s="264"/>
      <c r="R59" s="240"/>
      <c r="S59" s="240"/>
      <c r="T59" s="49"/>
      <c r="U59" s="320"/>
      <c r="V59" s="66"/>
      <c r="W59" s="66"/>
      <c r="X59" s="66"/>
      <c r="Y59" s="66"/>
      <c r="Z59" s="66"/>
      <c r="AA59" s="66"/>
      <c r="AB59" s="66"/>
      <c r="AC59" s="66"/>
    </row>
    <row r="60" spans="2:29" ht="7.5" customHeight="1" x14ac:dyDescent="0.2">
      <c r="B60" s="46"/>
      <c r="C60" s="42"/>
      <c r="D60" s="49"/>
      <c r="E60" s="49"/>
      <c r="F60" s="49"/>
      <c r="G60" s="49"/>
      <c r="H60" s="49"/>
      <c r="I60" s="49"/>
      <c r="J60" s="49"/>
      <c r="K60" s="49"/>
      <c r="L60" s="49"/>
      <c r="M60" s="49"/>
      <c r="N60" s="49"/>
      <c r="O60" s="49"/>
      <c r="P60" s="49"/>
      <c r="Q60" s="49"/>
      <c r="R60" s="49"/>
      <c r="S60" s="49"/>
      <c r="T60" s="49"/>
      <c r="U60" s="320"/>
      <c r="V60" s="66"/>
      <c r="W60" s="66"/>
      <c r="X60" s="66"/>
      <c r="Y60" s="66"/>
      <c r="Z60" s="66"/>
      <c r="AA60" s="66"/>
      <c r="AB60" s="66"/>
      <c r="AC60" s="66"/>
    </row>
    <row r="61" spans="2:29" ht="15.95" customHeight="1" x14ac:dyDescent="0.2">
      <c r="B61" s="46"/>
      <c r="C61" s="42"/>
      <c r="D61" s="49"/>
      <c r="E61" s="49"/>
      <c r="F61" s="374" t="s">
        <v>248</v>
      </c>
      <c r="G61" s="374"/>
      <c r="H61" s="374"/>
      <c r="I61" s="374"/>
      <c r="J61" s="374"/>
      <c r="K61" s="226"/>
      <c r="L61" s="226"/>
      <c r="M61" s="226"/>
      <c r="N61" s="49"/>
      <c r="O61" s="49"/>
      <c r="P61" s="49"/>
      <c r="Q61" s="49"/>
      <c r="R61" s="49"/>
      <c r="S61" s="49"/>
      <c r="T61" s="49"/>
      <c r="U61" s="320"/>
      <c r="V61" s="66"/>
      <c r="W61" s="66"/>
      <c r="X61" s="66"/>
      <c r="Y61" s="66"/>
      <c r="Z61" s="66"/>
      <c r="AA61" s="66"/>
      <c r="AB61" s="66"/>
      <c r="AC61" s="66"/>
    </row>
    <row r="62" spans="2:29" ht="18" customHeight="1" x14ac:dyDescent="0.25">
      <c r="B62" s="46"/>
      <c r="C62" s="42"/>
      <c r="D62" s="49"/>
      <c r="E62" s="49"/>
      <c r="F62" s="49"/>
      <c r="G62" s="374" t="s">
        <v>236</v>
      </c>
      <c r="H62" s="374"/>
      <c r="I62" s="374"/>
      <c r="J62" s="374"/>
      <c r="K62" s="238"/>
      <c r="L62" s="239"/>
      <c r="M62" s="238"/>
      <c r="N62" s="240" t="s">
        <v>81</v>
      </c>
      <c r="O62" s="227"/>
      <c r="P62" s="49"/>
      <c r="Q62" s="49"/>
      <c r="R62" s="49"/>
      <c r="S62" s="49"/>
      <c r="T62" s="49"/>
      <c r="U62" s="320"/>
      <c r="V62" s="66"/>
      <c r="W62" s="66"/>
      <c r="X62" s="66"/>
      <c r="Y62" s="66"/>
      <c r="Z62" s="66"/>
      <c r="AA62" s="66"/>
      <c r="AB62" s="66"/>
      <c r="AC62" s="66"/>
    </row>
    <row r="63" spans="2:29" ht="57.95" customHeight="1" x14ac:dyDescent="0.2">
      <c r="B63" s="46"/>
      <c r="C63" s="42"/>
      <c r="D63" s="49"/>
      <c r="E63" s="428" t="s">
        <v>438</v>
      </c>
      <c r="F63" s="428"/>
      <c r="G63" s="428"/>
      <c r="H63" s="428"/>
      <c r="I63" s="428"/>
      <c r="J63" s="428"/>
      <c r="K63" s="428"/>
      <c r="L63" s="428"/>
      <c r="M63" s="428"/>
      <c r="N63" s="428"/>
      <c r="O63" s="428"/>
      <c r="P63" s="428"/>
      <c r="Q63" s="428"/>
      <c r="R63" s="428"/>
      <c r="S63" s="428"/>
      <c r="T63" s="428"/>
      <c r="U63" s="320"/>
      <c r="V63" s="66"/>
      <c r="W63" s="66"/>
      <c r="X63" s="66"/>
      <c r="Y63" s="66"/>
      <c r="Z63" s="66"/>
      <c r="AA63" s="66"/>
      <c r="AB63" s="66"/>
      <c r="AC63" s="66"/>
    </row>
    <row r="64" spans="2:29" ht="14.45" customHeight="1" x14ac:dyDescent="0.2">
      <c r="B64" s="46"/>
      <c r="C64" s="42"/>
      <c r="D64" s="49"/>
      <c r="E64" s="49"/>
      <c r="F64" s="49"/>
      <c r="G64" s="49"/>
      <c r="H64" s="49"/>
      <c r="I64" s="49"/>
      <c r="J64" s="49"/>
      <c r="K64" s="226"/>
      <c r="L64" s="226"/>
      <c r="M64" s="226"/>
      <c r="N64" s="49"/>
      <c r="O64" s="49"/>
      <c r="P64" s="226"/>
      <c r="Q64" s="226"/>
      <c r="R64" s="226"/>
      <c r="S64" s="49"/>
      <c r="T64" s="49"/>
      <c r="U64" s="320"/>
      <c r="V64" s="66"/>
      <c r="W64" s="66"/>
      <c r="X64" s="66"/>
      <c r="Y64" s="66"/>
      <c r="Z64" s="66"/>
      <c r="AA64" s="66"/>
      <c r="AB64" s="66"/>
      <c r="AC64" s="66"/>
    </row>
    <row r="65" spans="2:29" ht="9.9499999999999993" customHeight="1" x14ac:dyDescent="0.2">
      <c r="B65" s="46"/>
      <c r="C65" s="42"/>
      <c r="D65" s="49"/>
      <c r="E65" s="48" t="s">
        <v>14</v>
      </c>
      <c r="F65" s="49" t="s">
        <v>31</v>
      </c>
      <c r="G65" s="49"/>
      <c r="H65" s="49"/>
      <c r="I65" s="49"/>
      <c r="J65" s="49"/>
      <c r="K65" s="144" t="s">
        <v>2</v>
      </c>
      <c r="L65" s="144"/>
      <c r="M65" s="144" t="s">
        <v>2</v>
      </c>
      <c r="N65" s="144" t="s">
        <v>3</v>
      </c>
      <c r="O65" s="144"/>
      <c r="P65" s="144" t="s">
        <v>2</v>
      </c>
      <c r="Q65" s="144"/>
      <c r="R65" s="144" t="s">
        <v>3</v>
      </c>
      <c r="S65" s="144"/>
      <c r="T65" s="49"/>
      <c r="U65" s="320"/>
      <c r="V65" s="66"/>
      <c r="W65" s="66"/>
      <c r="X65" s="66"/>
      <c r="Y65" s="66"/>
      <c r="Z65" s="66"/>
      <c r="AA65" s="66"/>
      <c r="AB65" s="66"/>
      <c r="AC65" s="66"/>
    </row>
    <row r="66" spans="2:29" ht="13.5" customHeight="1" x14ac:dyDescent="0.2">
      <c r="B66" s="46"/>
      <c r="C66" s="42"/>
      <c r="D66" s="49"/>
      <c r="E66" s="48"/>
      <c r="F66" s="49"/>
      <c r="G66" s="49"/>
      <c r="H66" s="49"/>
      <c r="I66" s="49"/>
      <c r="J66" s="49"/>
      <c r="K66" s="144" t="s">
        <v>436</v>
      </c>
      <c r="L66" s="144"/>
      <c r="M66" s="144" t="s">
        <v>437</v>
      </c>
      <c r="N66" s="49"/>
      <c r="O66" s="49"/>
      <c r="P66" s="144" t="s">
        <v>436</v>
      </c>
      <c r="Q66" s="144"/>
      <c r="R66" s="144" t="s">
        <v>437</v>
      </c>
      <c r="S66" s="144"/>
      <c r="T66" s="49"/>
      <c r="U66" s="320"/>
      <c r="V66" s="66"/>
      <c r="W66" s="323"/>
      <c r="X66" s="66"/>
      <c r="Y66" s="66"/>
      <c r="Z66" s="66"/>
      <c r="AA66" s="66"/>
      <c r="AB66" s="66"/>
      <c r="AC66" s="66"/>
    </row>
    <row r="67" spans="2:29" ht="18.95" customHeight="1" x14ac:dyDescent="0.2">
      <c r="B67" s="46"/>
      <c r="C67" s="42"/>
      <c r="D67" s="49"/>
      <c r="E67" s="432" t="s">
        <v>32</v>
      </c>
      <c r="F67" s="432"/>
      <c r="G67" s="432"/>
      <c r="H67" s="432"/>
      <c r="I67" s="432"/>
      <c r="J67" s="144"/>
      <c r="K67" s="324"/>
      <c r="L67" s="277"/>
      <c r="M67" s="324"/>
      <c r="N67" s="240" t="s">
        <v>35</v>
      </c>
      <c r="O67" s="240"/>
      <c r="P67" s="321" t="str">
        <f>IF(K67&gt;0,(1/(($P$49-(-IF(K62&gt;0,K62,8)))/K67)),"0")</f>
        <v>0</v>
      </c>
      <c r="Q67" s="322"/>
      <c r="R67" s="321" t="str">
        <f>IF(M67&gt;0,(1/(($P$49-(-IF(M62&gt;0,M62,930)))/M67)),"0")</f>
        <v>0</v>
      </c>
      <c r="S67" s="240" t="s">
        <v>17</v>
      </c>
      <c r="T67" s="49"/>
      <c r="U67" s="320"/>
      <c r="V67" s="66"/>
      <c r="W67" s="323"/>
      <c r="X67" s="66"/>
      <c r="Y67" s="66"/>
      <c r="Z67" s="66"/>
      <c r="AA67" s="66"/>
      <c r="AB67" s="66"/>
      <c r="AC67" s="66"/>
    </row>
    <row r="68" spans="2:29" ht="22.5" customHeight="1" x14ac:dyDescent="0.2">
      <c r="B68" s="46"/>
      <c r="C68" s="42"/>
      <c r="D68" s="49"/>
      <c r="E68" s="432" t="s">
        <v>489</v>
      </c>
      <c r="F68" s="432"/>
      <c r="G68" s="432"/>
      <c r="H68" s="432"/>
      <c r="I68" s="432"/>
      <c r="J68" s="144"/>
      <c r="K68" s="324"/>
      <c r="L68" s="277"/>
      <c r="M68" s="324"/>
      <c r="N68" s="240" t="s">
        <v>35</v>
      </c>
      <c r="O68" s="240"/>
      <c r="P68" s="321" t="str">
        <f>IF(K68&gt;0,(1/(($P$49-((IF(K16="Yes",IF('Stage 2'!$K$14="550-575",'Data Tables'!AK39,IF('Stage 2'!$K$14="575-600",'Data Tables'!AK40,IF('Stage 2'!$K$14="600-625",'Data Tables'!AK41,IF('Stage 2'!$K$14="625-650",'Data Tables'!AK42,IF('Stage 2'!$K$14="650-675",'Data Tables'!AK43,IF('Stage 2'!$K$14="675-700",'Data Tables'!AK44,IF('Stage 2'!$K$14="700-750",'Data Tables'!AK45,IF('Stage 2'!$K$14="750-800",'Data Tables'!AK46,IF('Stage 2'!$K$14="800-850",'Data Tables'!AK47,'Data Tables'!AK48))))))))),IF($Y$23="550-575",'Data Tables'!AK39,IF($Y$23="575-600",'Data Tables'!AK40,IF($Y$23="600-625",'Data Tables'!AK41,IF($Y$23="625-650",'Data Tables'!AK42,IF($Y$23="650-675",'Data Tables'!AK43,IF($Y$23="675-700",'Data Tables'!AK44,IF($Y$23="700-750",'Data Tables'!AK45,IF($Y$23="750-800",'Data Tables'!AK46,IF($Y$23="800-850",'Data Tables'!AK47,'Data Tables'!AK48)))))))))))))/K68)),"0")</f>
        <v>0</v>
      </c>
      <c r="Q68" s="322"/>
      <c r="R68" s="321" t="str">
        <f>IF(M68&gt;0,(M68/(R49-(IF(K16="Yes",IF('Stage 2'!$K$14="550-575",'Data Tables'!AL39,IF('Stage 2'!$K$14="575-600",'Data Tables'!AL40,IF('Stage 2'!$K$14="600-625",'Data Tables'!AL41,IF('Stage 2'!$K$14="625-650",'Data Tables'!AL42,IF('Stage 2'!$K$14="650-675",'Data Tables'!AL43,IF('Stage 2'!$K$14="675-700",'Data Tables'!AL44,IF('Stage 2'!$K$14="700-750",'Data Tables'!AL45,IF('Stage 2'!$K$14="750-800",'Data Tables'!AL46,IF('Stage 2'!$K$14="800-850",'Data Tables'!AL47,'Data Tables'!AL48))))))))),IF($Y$23="550-575",'Data Tables'!AL39,IF($Y$23="575-600",'Data Tables'!AL40,IF($Y$23="600-625",'Data Tables'!AL41,IF($Y$23="625-650",'Data Tables'!AL42,IF($Y$23="650-675",'Data Tables'!AL43,IF($Y$23="675-700",'Data Tables'!AL44,IF($Y$23="700-750",'Data Tables'!AL45,IF($Y$23="750-800",'Data Tables'!AL46,IF($Y$23="800-850",'Data Tables'!AL47,'Data Tables'!AL48))))))))))))),"0")</f>
        <v>0</v>
      </c>
      <c r="S68" s="240" t="s">
        <v>17</v>
      </c>
      <c r="T68" s="49"/>
      <c r="U68" s="320"/>
      <c r="V68" s="66"/>
      <c r="W68" s="66"/>
      <c r="X68" s="66"/>
      <c r="Y68" s="66"/>
      <c r="Z68" s="66"/>
      <c r="AA68" s="66"/>
      <c r="AB68" s="66"/>
      <c r="AC68" s="66"/>
    </row>
    <row r="69" spans="2:29" ht="13.5" customHeight="1" x14ac:dyDescent="0.2">
      <c r="B69" s="46"/>
      <c r="C69" s="42"/>
      <c r="D69" s="49"/>
      <c r="E69" s="432" t="s">
        <v>400</v>
      </c>
      <c r="F69" s="432"/>
      <c r="G69" s="432"/>
      <c r="H69" s="432"/>
      <c r="I69" s="432"/>
      <c r="J69" s="144"/>
      <c r="K69" s="324"/>
      <c r="L69" s="277"/>
      <c r="M69" s="324"/>
      <c r="N69" s="240" t="s">
        <v>35</v>
      </c>
      <c r="O69" s="240"/>
      <c r="P69" s="321" t="str">
        <f>IF(K69&gt;0,(1/(($P$49-'Data Tables'!O7)/K69)),"0")</f>
        <v>0</v>
      </c>
      <c r="Q69" s="322"/>
      <c r="R69" s="321" t="str">
        <f>IF(M69&gt;0,(1/(($R$49-'Data Tables'!P7)/M69)),"0")</f>
        <v>0</v>
      </c>
      <c r="S69" s="240" t="s">
        <v>17</v>
      </c>
      <c r="T69" s="49"/>
      <c r="U69" s="320"/>
      <c r="V69" s="66"/>
      <c r="W69" s="323"/>
      <c r="X69" s="66"/>
      <c r="Y69" s="66"/>
      <c r="Z69" s="66"/>
      <c r="AA69" s="66"/>
      <c r="AB69" s="66"/>
      <c r="AC69" s="66"/>
    </row>
    <row r="70" spans="2:29" ht="16.5" customHeight="1" x14ac:dyDescent="0.2">
      <c r="B70" s="46"/>
      <c r="C70" s="42"/>
      <c r="D70" s="49"/>
      <c r="E70" s="432" t="s">
        <v>34</v>
      </c>
      <c r="F70" s="432"/>
      <c r="G70" s="432"/>
      <c r="H70" s="432"/>
      <c r="I70" s="432"/>
      <c r="J70" s="144"/>
      <c r="K70" s="324"/>
      <c r="L70" s="277"/>
      <c r="M70" s="324"/>
      <c r="N70" s="240" t="s">
        <v>35</v>
      </c>
      <c r="O70" s="240"/>
      <c r="P70" s="321" t="str">
        <f>IF(K70&gt;0,(1/(($P$49-'Data Tables'!O5)/K70)),"0")</f>
        <v>0</v>
      </c>
      <c r="Q70" s="322"/>
      <c r="R70" s="321" t="str">
        <f>IF(M70&gt;0,(1/(($P$49-'Data Tables'!P5)/M70)),"0")</f>
        <v>0</v>
      </c>
      <c r="S70" s="240" t="s">
        <v>17</v>
      </c>
      <c r="T70" s="49"/>
      <c r="U70" s="320"/>
      <c r="V70" s="66"/>
      <c r="W70" s="66"/>
      <c r="X70" s="66"/>
      <c r="Y70" s="66"/>
      <c r="Z70" s="66"/>
      <c r="AA70" s="66"/>
      <c r="AB70" s="66"/>
      <c r="AC70" s="66"/>
    </row>
    <row r="71" spans="2:29" ht="16.5" customHeight="1" x14ac:dyDescent="0.2">
      <c r="B71" s="46"/>
      <c r="C71" s="42"/>
      <c r="D71" s="49"/>
      <c r="E71" s="432" t="s">
        <v>245</v>
      </c>
      <c r="F71" s="432"/>
      <c r="G71" s="432"/>
      <c r="H71" s="432"/>
      <c r="I71" s="432"/>
      <c r="J71" s="144"/>
      <c r="K71" s="324"/>
      <c r="L71" s="277"/>
      <c r="M71" s="324"/>
      <c r="N71" s="240" t="s">
        <v>35</v>
      </c>
      <c r="O71" s="240"/>
      <c r="P71" s="321" t="str">
        <f>IF(K71&gt;0,(1/(($P$49-'Data Tables'!O6)/K71)),"0")</f>
        <v>0</v>
      </c>
      <c r="Q71" s="322"/>
      <c r="R71" s="321" t="str">
        <f>IF(M71&gt;0,(1/(($R$49-'Data Tables'!P6)/M71)),"0")</f>
        <v>0</v>
      </c>
      <c r="S71" s="240" t="s">
        <v>17</v>
      </c>
      <c r="T71" s="49"/>
      <c r="U71" s="320"/>
      <c r="V71" s="66"/>
      <c r="W71" s="66"/>
      <c r="X71" s="66"/>
      <c r="Y71" s="66"/>
      <c r="Z71" s="66"/>
      <c r="AA71" s="66"/>
      <c r="AB71" s="66"/>
      <c r="AC71" s="66"/>
    </row>
    <row r="72" spans="2:29" ht="16.5" customHeight="1" x14ac:dyDescent="0.2">
      <c r="B72" s="46"/>
      <c r="C72" s="42"/>
      <c r="D72" s="49"/>
      <c r="E72" s="432" t="s">
        <v>439</v>
      </c>
      <c r="F72" s="432"/>
      <c r="G72" s="432"/>
      <c r="H72" s="432"/>
      <c r="I72" s="432"/>
      <c r="J72" s="144"/>
      <c r="K72" s="324"/>
      <c r="L72" s="277"/>
      <c r="M72" s="324"/>
      <c r="N72" s="240" t="s">
        <v>35</v>
      </c>
      <c r="O72" s="240"/>
      <c r="P72" s="321" t="str">
        <f>IF(K72&gt;0,(1/(($P$49-'Data Tables'!O4)/K72)),"0")</f>
        <v>0</v>
      </c>
      <c r="Q72" s="322"/>
      <c r="R72" s="321" t="str">
        <f>IF(M72&gt;0,(1/(($R$49-'Data Tables'!P4)/M72)),"0")</f>
        <v>0</v>
      </c>
      <c r="S72" s="240" t="s">
        <v>17</v>
      </c>
      <c r="T72" s="49"/>
      <c r="U72" s="320"/>
      <c r="V72" s="66"/>
      <c r="W72" s="66"/>
      <c r="X72" s="66"/>
      <c r="Y72" s="66"/>
      <c r="Z72" s="66"/>
      <c r="AA72" s="66"/>
      <c r="AB72" s="66"/>
      <c r="AC72" s="66"/>
    </row>
    <row r="73" spans="2:29" ht="21.95" customHeight="1" x14ac:dyDescent="0.2">
      <c r="B73" s="46"/>
      <c r="C73" s="42"/>
      <c r="D73" s="49"/>
      <c r="E73" s="49"/>
      <c r="F73" s="49"/>
      <c r="G73" s="49"/>
      <c r="H73" s="49"/>
      <c r="I73" s="49"/>
      <c r="J73" s="49"/>
      <c r="K73" s="49"/>
      <c r="L73" s="49"/>
      <c r="M73" s="49"/>
      <c r="N73" s="240"/>
      <c r="O73" s="240"/>
      <c r="P73" s="325"/>
      <c r="Q73" s="325"/>
      <c r="R73" s="240"/>
      <c r="S73" s="240"/>
      <c r="T73" s="49"/>
      <c r="U73" s="320"/>
      <c r="V73" s="66"/>
      <c r="W73" s="66"/>
      <c r="X73" s="66"/>
      <c r="Y73" s="66"/>
      <c r="Z73" s="66"/>
      <c r="AA73" s="66"/>
      <c r="AB73" s="66"/>
      <c r="AC73" s="66"/>
    </row>
    <row r="74" spans="2:29" ht="15.6" customHeight="1" x14ac:dyDescent="0.2">
      <c r="B74" s="46"/>
      <c r="C74" s="42"/>
      <c r="D74" s="49"/>
      <c r="E74" s="49"/>
      <c r="F74" s="382" t="s">
        <v>64</v>
      </c>
      <c r="G74" s="382"/>
      <c r="H74" s="382"/>
      <c r="I74" s="382"/>
      <c r="J74" s="49"/>
      <c r="K74" s="273">
        <f>K10-(SUM(K67:K72))</f>
        <v>88.763836552768254</v>
      </c>
      <c r="L74" s="269"/>
      <c r="M74" s="273">
        <f>K11-(SUM(M67:M72))</f>
        <v>2502.7568366829018</v>
      </c>
      <c r="N74" s="246" t="s">
        <v>15</v>
      </c>
      <c r="O74" s="246"/>
      <c r="P74" s="290">
        <f>SUM(P67:P72)</f>
        <v>0</v>
      </c>
      <c r="Q74" s="326"/>
      <c r="R74" s="290">
        <f>SUM(R67:R72)</f>
        <v>0</v>
      </c>
      <c r="S74" s="246" t="s">
        <v>17</v>
      </c>
      <c r="T74" s="49"/>
      <c r="U74" s="320"/>
      <c r="V74" s="66"/>
      <c r="W74" s="66"/>
      <c r="X74" s="66"/>
      <c r="Y74" s="66"/>
      <c r="Z74" s="66"/>
      <c r="AA74" s="66"/>
      <c r="AB74" s="66"/>
      <c r="AC74" s="66"/>
    </row>
    <row r="75" spans="2:29" ht="18" customHeight="1" x14ac:dyDescent="0.2">
      <c r="B75" s="46"/>
      <c r="C75" s="42"/>
      <c r="D75" s="49"/>
      <c r="E75" s="49"/>
      <c r="F75" s="49"/>
      <c r="G75" s="49"/>
      <c r="H75" s="49"/>
      <c r="I75" s="49"/>
      <c r="J75" s="49"/>
      <c r="K75" s="49"/>
      <c r="L75" s="49"/>
      <c r="M75" s="49"/>
      <c r="N75" s="49"/>
      <c r="O75" s="49"/>
      <c r="P75" s="49"/>
      <c r="Q75" s="49"/>
      <c r="R75" s="49"/>
      <c r="S75" s="49"/>
      <c r="T75" s="49"/>
      <c r="U75" s="320"/>
      <c r="V75" s="66"/>
      <c r="W75" s="66"/>
      <c r="X75" s="66"/>
      <c r="Y75" s="66"/>
      <c r="Z75" s="66"/>
      <c r="AA75" s="66"/>
      <c r="AB75" s="66"/>
      <c r="AC75" s="66"/>
    </row>
    <row r="76" spans="2:29" ht="55.5" customHeight="1" x14ac:dyDescent="0.2">
      <c r="B76" s="46"/>
      <c r="C76" s="42"/>
      <c r="D76" s="49"/>
      <c r="E76" s="428" t="s">
        <v>442</v>
      </c>
      <c r="F76" s="428"/>
      <c r="G76" s="428"/>
      <c r="H76" s="428"/>
      <c r="I76" s="428"/>
      <c r="J76" s="428"/>
      <c r="K76" s="428"/>
      <c r="L76" s="428"/>
      <c r="M76" s="428"/>
      <c r="N76" s="428"/>
      <c r="O76" s="428"/>
      <c r="P76" s="428"/>
      <c r="Q76" s="428"/>
      <c r="R76" s="428"/>
      <c r="S76" s="428"/>
      <c r="T76" s="428"/>
      <c r="U76" s="320"/>
      <c r="V76" s="66"/>
      <c r="W76" s="66"/>
      <c r="X76" s="66"/>
      <c r="Y76" s="66"/>
      <c r="Z76" s="66"/>
      <c r="AA76" s="66"/>
      <c r="AB76" s="66"/>
      <c r="AC76" s="66"/>
    </row>
    <row r="77" spans="2:29" ht="15.75" x14ac:dyDescent="0.2">
      <c r="B77" s="46"/>
      <c r="C77" s="42"/>
      <c r="D77" s="49"/>
      <c r="E77" s="49"/>
      <c r="F77" s="49"/>
      <c r="G77" s="49"/>
      <c r="H77" s="49"/>
      <c r="I77" s="49"/>
      <c r="J77" s="49"/>
      <c r="K77" s="49"/>
      <c r="L77" s="49"/>
      <c r="M77" s="49"/>
      <c r="N77" s="49"/>
      <c r="O77" s="49"/>
      <c r="P77" s="49"/>
      <c r="Q77" s="49"/>
      <c r="R77" s="49"/>
      <c r="S77" s="49"/>
      <c r="T77" s="49"/>
      <c r="U77" s="320"/>
      <c r="V77" s="66"/>
      <c r="W77" s="66"/>
      <c r="X77" s="66"/>
      <c r="Y77" s="66"/>
      <c r="Z77" s="66"/>
      <c r="AA77" s="66"/>
      <c r="AB77" s="66"/>
      <c r="AC77" s="66"/>
    </row>
    <row r="78" spans="2:29" ht="15.75" x14ac:dyDescent="0.2">
      <c r="B78" s="46"/>
      <c r="C78" s="42"/>
      <c r="D78" s="49"/>
      <c r="E78" s="48" t="s">
        <v>27</v>
      </c>
      <c r="F78" s="49" t="s">
        <v>31</v>
      </c>
      <c r="G78" s="49"/>
      <c r="H78" s="49"/>
      <c r="I78" s="49"/>
      <c r="J78" s="49"/>
      <c r="K78" s="144" t="s">
        <v>2</v>
      </c>
      <c r="L78" s="144"/>
      <c r="M78" s="144" t="s">
        <v>2</v>
      </c>
      <c r="N78" s="144" t="s">
        <v>3</v>
      </c>
      <c r="O78" s="144"/>
      <c r="P78" s="144" t="s">
        <v>2</v>
      </c>
      <c r="Q78" s="144"/>
      <c r="R78" s="144" t="s">
        <v>3</v>
      </c>
      <c r="S78" s="144"/>
      <c r="T78" s="49"/>
      <c r="U78" s="320"/>
      <c r="V78" s="66"/>
      <c r="W78" s="66"/>
      <c r="X78" s="66"/>
      <c r="Y78" s="66"/>
      <c r="Z78" s="66"/>
      <c r="AA78" s="66"/>
      <c r="AB78" s="66"/>
      <c r="AC78" s="66"/>
    </row>
    <row r="79" spans="2:29" ht="15.75" x14ac:dyDescent="0.2">
      <c r="B79" s="46"/>
      <c r="C79" s="42"/>
      <c r="D79" s="49"/>
      <c r="E79" s="48"/>
      <c r="F79" s="49"/>
      <c r="G79" s="49"/>
      <c r="H79" s="49"/>
      <c r="I79" s="49"/>
      <c r="J79" s="49"/>
      <c r="K79" s="144" t="s">
        <v>436</v>
      </c>
      <c r="L79" s="144"/>
      <c r="M79" s="144" t="s">
        <v>437</v>
      </c>
      <c r="N79" s="49"/>
      <c r="O79" s="49"/>
      <c r="P79" s="144" t="s">
        <v>436</v>
      </c>
      <c r="Q79" s="144"/>
      <c r="R79" s="144" t="s">
        <v>437</v>
      </c>
      <c r="S79" s="144"/>
      <c r="T79" s="49"/>
      <c r="U79" s="320"/>
      <c r="V79" s="66"/>
      <c r="W79" s="66"/>
      <c r="X79" s="66"/>
      <c r="Y79" s="66"/>
      <c r="Z79" s="66"/>
      <c r="AA79" s="66"/>
      <c r="AB79" s="66"/>
      <c r="AC79" s="66"/>
    </row>
    <row r="80" spans="2:29" ht="15.75" x14ac:dyDescent="0.2">
      <c r="B80" s="46"/>
      <c r="C80" s="42"/>
      <c r="D80" s="49"/>
      <c r="E80" s="432" t="s">
        <v>32</v>
      </c>
      <c r="F80" s="432"/>
      <c r="G80" s="432"/>
      <c r="H80" s="432"/>
      <c r="I80" s="432"/>
      <c r="J80" s="144"/>
      <c r="K80" s="282"/>
      <c r="L80" s="327"/>
      <c r="M80" s="282"/>
      <c r="N80" s="240" t="s">
        <v>61</v>
      </c>
      <c r="O80" s="240"/>
      <c r="P80" s="268" t="e">
        <f>K80*($P$49-(-IF(K62&gt;0,K62,8)))</f>
        <v>#VALUE!</v>
      </c>
      <c r="Q80" s="264"/>
      <c r="R80" s="268" t="e">
        <f>M80*($R$49-(-IF(M62&gt;0,M62,930)))</f>
        <v>#VALUE!</v>
      </c>
      <c r="S80" s="240" t="s">
        <v>35</v>
      </c>
      <c r="T80" s="49"/>
      <c r="U80" s="320"/>
      <c r="V80" s="66"/>
      <c r="W80" s="66"/>
      <c r="X80" s="66"/>
      <c r="Y80" s="66"/>
      <c r="Z80" s="66"/>
      <c r="AA80" s="66"/>
      <c r="AB80" s="66"/>
      <c r="AC80" s="66"/>
    </row>
    <row r="81" spans="2:29" ht="15.75" x14ac:dyDescent="0.2">
      <c r="B81" s="46"/>
      <c r="C81" s="42"/>
      <c r="D81" s="49"/>
      <c r="E81" s="432" t="s">
        <v>489</v>
      </c>
      <c r="F81" s="432"/>
      <c r="G81" s="432"/>
      <c r="H81" s="432"/>
      <c r="I81" s="432"/>
      <c r="J81" s="144"/>
      <c r="K81" s="282"/>
      <c r="L81" s="327"/>
      <c r="M81" s="282"/>
      <c r="N81" s="240" t="s">
        <v>61</v>
      </c>
      <c r="O81" s="240"/>
      <c r="P81" s="268" t="e">
        <f>K81*($P$49-((IF(K16="Yes",IF('Stage 2'!$K$14="550-575",'Data Tables'!AK39,IF('Stage 2'!$K$14="575-600",'Data Tables'!AK40,IF('Stage 2'!$K$14="600-625",'Data Tables'!AK41,IF('Stage 2'!$K$14="625-650",'Data Tables'!AK42,IF('Stage 2'!$K$14="650-675",'Data Tables'!AK43,IF('Stage 2'!$K$14="675-700",'Data Tables'!AK44,IF('Stage 2'!$K$14="700-750",'Data Tables'!AK45,IF('Stage 2'!$K$14="750-800",'Data Tables'!AK46,IF('Stage 2'!$K$14="800-850",'Data Tables'!AK47,'Data Tables'!AK48))))))))),IF($Y$23="550-575",'Data Tables'!AK39,IF($Y$23="575-600",'Data Tables'!AK40,IF($Y$23="600-625",'Data Tables'!AK41,IF($Y$23="625-650",'Data Tables'!AK42,IF($Y$23="650-675",'Data Tables'!AK43,IF($Y$23="675-700",'Data Tables'!AK44,IF($Y$23="700-750",'Data Tables'!AK45,IF($Y$23="750-800",'Data Tables'!AK46,IF($Y$23="800-850",'Data Tables'!AK47,'Data Tables'!AK48)))))))))))))</f>
        <v>#VALUE!</v>
      </c>
      <c r="Q81" s="264"/>
      <c r="R81" s="268" t="e">
        <f>M81*($R$49-(IF(K16="Yes",IF('Stage 2'!$K$14="550-575",'Data Tables'!AL39,IF('Stage 2'!$K$14="575-600",'Data Tables'!AL40,IF('Stage 2'!$K$14="600-625",'Data Tables'!AL41,IF('Stage 2'!$K$14="625-650",'Data Tables'!AL42,IF('Stage 2'!$K$14="650-675",'Data Tables'!AL43,IF('Stage 2'!$K$14="675-700",'Data Tables'!AL44,IF('Stage 2'!$K$14="700-750",'Data Tables'!AL45,IF('Stage 2'!$K$14="750-800",'Data Tables'!AL46,IF('Stage 2'!$K$14="800-850",'Data Tables'!AL47,'Data Tables'!AL48))))))))),IF($Y$23="550-575",'Data Tables'!AL39,IF($Y$23="575-600",'Data Tables'!AL40,IF($Y$23="600-625",'Data Tables'!AL41,IF($Y$23="625-650",'Data Tables'!AL42,IF($Y$23="650-675",'Data Tables'!AL43,IF($Y$23="675-700",'Data Tables'!AL44,IF($Y$23="700-750",'Data Tables'!AL45,IF($Y$23="750-800",'Data Tables'!AL46,IF($Y$23="800-850",'Data Tables'!AL47,'Data Tables'!AL48))))))))))))</f>
        <v>#VALUE!</v>
      </c>
      <c r="S81" s="240" t="s">
        <v>35</v>
      </c>
      <c r="T81" s="49"/>
      <c r="U81" s="320"/>
      <c r="V81" s="66"/>
      <c r="W81" s="66"/>
      <c r="X81" s="66"/>
      <c r="Y81" s="66"/>
      <c r="Z81" s="66"/>
      <c r="AA81" s="66"/>
      <c r="AB81" s="66"/>
      <c r="AC81" s="66"/>
    </row>
    <row r="82" spans="2:29" ht="15.75" x14ac:dyDescent="0.2">
      <c r="B82" s="46"/>
      <c r="C82" s="42"/>
      <c r="D82" s="49"/>
      <c r="E82" s="432" t="s">
        <v>400</v>
      </c>
      <c r="F82" s="432"/>
      <c r="G82" s="432"/>
      <c r="H82" s="432"/>
      <c r="I82" s="432"/>
      <c r="J82" s="144"/>
      <c r="K82" s="282"/>
      <c r="L82" s="327"/>
      <c r="M82" s="282"/>
      <c r="N82" s="240" t="s">
        <v>61</v>
      </c>
      <c r="O82" s="240"/>
      <c r="P82" s="268" t="e">
        <f>K82*($P$49-'Data Tables'!O7)</f>
        <v>#VALUE!</v>
      </c>
      <c r="Q82" s="264"/>
      <c r="R82" s="268" t="e">
        <f>M82*($R$49-'Data Tables'!P7)</f>
        <v>#VALUE!</v>
      </c>
      <c r="S82" s="240" t="s">
        <v>35</v>
      </c>
      <c r="T82" s="49"/>
      <c r="U82" s="320"/>
      <c r="V82" s="66"/>
      <c r="W82" s="66"/>
      <c r="X82" s="66"/>
      <c r="Y82" s="66"/>
      <c r="Z82" s="66"/>
      <c r="AA82" s="66"/>
      <c r="AB82" s="66"/>
      <c r="AC82" s="66"/>
    </row>
    <row r="83" spans="2:29" ht="15.75" x14ac:dyDescent="0.2">
      <c r="B83" s="46"/>
      <c r="C83" s="42"/>
      <c r="D83" s="49"/>
      <c r="E83" s="432" t="s">
        <v>34</v>
      </c>
      <c r="F83" s="432"/>
      <c r="G83" s="432"/>
      <c r="H83" s="432"/>
      <c r="I83" s="432"/>
      <c r="J83" s="144"/>
      <c r="K83" s="282"/>
      <c r="L83" s="327"/>
      <c r="M83" s="282"/>
      <c r="N83" s="240" t="s">
        <v>61</v>
      </c>
      <c r="O83" s="240"/>
      <c r="P83" s="268" t="e">
        <f>K83*($P$49-'Data Tables'!O5)</f>
        <v>#VALUE!</v>
      </c>
      <c r="Q83" s="264"/>
      <c r="R83" s="268" t="e">
        <f>M83*($R$49-'Data Tables'!P5)</f>
        <v>#VALUE!</v>
      </c>
      <c r="S83" s="240" t="s">
        <v>35</v>
      </c>
      <c r="T83" s="49"/>
      <c r="U83" s="320"/>
      <c r="V83" s="66"/>
      <c r="W83" s="66"/>
      <c r="X83" s="66"/>
      <c r="Y83" s="66"/>
      <c r="Z83" s="66"/>
      <c r="AA83" s="66"/>
      <c r="AB83" s="66"/>
      <c r="AC83" s="66"/>
    </row>
    <row r="84" spans="2:29" ht="15.75" x14ac:dyDescent="0.2">
      <c r="B84" s="46"/>
      <c r="C84" s="42"/>
      <c r="D84" s="49"/>
      <c r="E84" s="432" t="s">
        <v>245</v>
      </c>
      <c r="F84" s="432"/>
      <c r="G84" s="432"/>
      <c r="H84" s="432"/>
      <c r="I84" s="432"/>
      <c r="J84" s="144"/>
      <c r="K84" s="282"/>
      <c r="L84" s="327"/>
      <c r="M84" s="282"/>
      <c r="N84" s="240" t="s">
        <v>61</v>
      </c>
      <c r="O84" s="240"/>
      <c r="P84" s="268" t="e">
        <f>K84*($P$49-'Data Tables'!O6)</f>
        <v>#VALUE!</v>
      </c>
      <c r="Q84" s="264"/>
      <c r="R84" s="268" t="e">
        <f>M84*($R$49-'Data Tables'!P6)</f>
        <v>#VALUE!</v>
      </c>
      <c r="S84" s="240" t="s">
        <v>35</v>
      </c>
      <c r="T84" s="49"/>
      <c r="U84" s="320"/>
      <c r="V84" s="66"/>
      <c r="W84" s="66"/>
      <c r="X84" s="66"/>
      <c r="Y84" s="66"/>
      <c r="Z84" s="66"/>
      <c r="AA84" s="66"/>
      <c r="AB84" s="66"/>
      <c r="AC84" s="66"/>
    </row>
    <row r="85" spans="2:29" ht="15.75" x14ac:dyDescent="0.2">
      <c r="B85" s="46"/>
      <c r="C85" s="42"/>
      <c r="D85" s="49"/>
      <c r="E85" s="432" t="s">
        <v>439</v>
      </c>
      <c r="F85" s="432"/>
      <c r="G85" s="432"/>
      <c r="H85" s="432"/>
      <c r="I85" s="432"/>
      <c r="J85" s="144"/>
      <c r="K85" s="282"/>
      <c r="L85" s="327"/>
      <c r="M85" s="282"/>
      <c r="N85" s="240" t="s">
        <v>61</v>
      </c>
      <c r="O85" s="240"/>
      <c r="P85" s="268" t="e">
        <f>K85*($P$49-'Data Tables'!O4)</f>
        <v>#VALUE!</v>
      </c>
      <c r="Q85" s="264"/>
      <c r="R85" s="268" t="e">
        <f>M85*($R$49-'Data Tables'!P4)</f>
        <v>#VALUE!</v>
      </c>
      <c r="S85" s="240" t="s">
        <v>35</v>
      </c>
      <c r="T85" s="49"/>
      <c r="U85" s="320"/>
      <c r="V85" s="66"/>
      <c r="W85" s="66"/>
      <c r="X85" s="66"/>
      <c r="Y85" s="66"/>
      <c r="Z85" s="66"/>
      <c r="AA85" s="66"/>
      <c r="AB85" s="66"/>
      <c r="AC85" s="66"/>
    </row>
    <row r="86" spans="2:29" ht="30" customHeight="1" x14ac:dyDescent="0.2">
      <c r="B86" s="46"/>
      <c r="C86" s="42"/>
      <c r="D86" s="49"/>
      <c r="E86" s="49"/>
      <c r="F86" s="49"/>
      <c r="G86" s="49"/>
      <c r="H86" s="49"/>
      <c r="I86" s="49"/>
      <c r="J86" s="49"/>
      <c r="K86" s="328"/>
      <c r="L86" s="328"/>
      <c r="M86" s="328"/>
      <c r="N86" s="240"/>
      <c r="O86" s="240"/>
      <c r="P86" s="240"/>
      <c r="Q86" s="240"/>
      <c r="R86" s="240"/>
      <c r="S86" s="240"/>
      <c r="T86" s="49"/>
      <c r="U86" s="320"/>
      <c r="V86" s="66"/>
      <c r="W86" s="66"/>
      <c r="X86" s="66"/>
      <c r="Y86" s="66"/>
      <c r="Z86" s="66"/>
      <c r="AA86" s="66"/>
      <c r="AB86" s="66"/>
      <c r="AC86" s="66"/>
    </row>
    <row r="87" spans="2:29" ht="29.45" customHeight="1" x14ac:dyDescent="0.2">
      <c r="B87" s="46"/>
      <c r="C87" s="42"/>
      <c r="D87" s="49"/>
      <c r="E87" s="49"/>
      <c r="F87" s="382" t="s">
        <v>64</v>
      </c>
      <c r="G87" s="382"/>
      <c r="H87" s="382"/>
      <c r="I87" s="382"/>
      <c r="J87" s="49"/>
      <c r="K87" s="290">
        <f>(SUM(K80:K85))</f>
        <v>0</v>
      </c>
      <c r="L87" s="326"/>
      <c r="M87" s="290">
        <f>(SUM(M80:M85))</f>
        <v>0</v>
      </c>
      <c r="N87" s="246" t="s">
        <v>61</v>
      </c>
      <c r="O87" s="246"/>
      <c r="P87" s="273" t="e">
        <f>K10-(SUM(P80:P85))</f>
        <v>#VALUE!</v>
      </c>
      <c r="Q87" s="269"/>
      <c r="R87" s="273" t="e">
        <f>K11-(SUM(R80:R85))</f>
        <v>#VALUE!</v>
      </c>
      <c r="S87" s="246" t="s">
        <v>15</v>
      </c>
      <c r="T87" s="49"/>
      <c r="U87" s="320"/>
      <c r="V87" s="66"/>
      <c r="W87" s="66"/>
      <c r="X87" s="66"/>
      <c r="Y87" s="66"/>
      <c r="Z87" s="66"/>
      <c r="AA87" s="66"/>
      <c r="AB87" s="66"/>
      <c r="AC87" s="66"/>
    </row>
    <row r="88" spans="2:29" ht="15" customHeight="1" x14ac:dyDescent="0.2">
      <c r="B88" s="46"/>
      <c r="C88" s="42"/>
      <c r="D88" s="49"/>
      <c r="E88" s="49"/>
      <c r="F88" s="49"/>
      <c r="G88" s="49"/>
      <c r="H88" s="49"/>
      <c r="I88" s="49"/>
      <c r="J88" s="49"/>
      <c r="K88" s="49"/>
      <c r="L88" s="49"/>
      <c r="M88" s="49"/>
      <c r="N88" s="49"/>
      <c r="O88" s="49"/>
      <c r="P88" s="49"/>
      <c r="Q88" s="49"/>
      <c r="R88" s="49"/>
      <c r="S88" s="49"/>
      <c r="T88" s="49"/>
      <c r="U88" s="320"/>
      <c r="V88" s="66"/>
      <c r="W88" s="66"/>
      <c r="X88" s="66"/>
      <c r="Y88" s="66"/>
      <c r="Z88" s="66"/>
      <c r="AA88" s="66"/>
      <c r="AB88" s="66"/>
      <c r="AC88" s="66"/>
    </row>
    <row r="89" spans="2:29" ht="51.6" customHeight="1" thickBot="1" x14ac:dyDescent="0.25">
      <c r="B89" s="50"/>
      <c r="C89" s="51"/>
      <c r="D89" s="318"/>
      <c r="E89" s="448" t="s">
        <v>443</v>
      </c>
      <c r="F89" s="448"/>
      <c r="G89" s="448"/>
      <c r="H89" s="448"/>
      <c r="I89" s="448"/>
      <c r="J89" s="448"/>
      <c r="K89" s="448"/>
      <c r="L89" s="448"/>
      <c r="M89" s="448"/>
      <c r="N89" s="448"/>
      <c r="O89" s="448"/>
      <c r="P89" s="448"/>
      <c r="Q89" s="448"/>
      <c r="R89" s="448"/>
      <c r="S89" s="448"/>
      <c r="T89" s="448"/>
      <c r="U89" s="329"/>
      <c r="V89" s="66"/>
      <c r="W89" s="66"/>
      <c r="X89" s="66"/>
      <c r="Y89" s="66"/>
      <c r="Z89" s="66"/>
      <c r="AA89" s="66"/>
      <c r="AB89" s="66"/>
      <c r="AC89" s="66"/>
    </row>
    <row r="90" spans="2:29" ht="18" customHeight="1" x14ac:dyDescent="0.2">
      <c r="B90" s="40"/>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row>
    <row r="91" spans="2:29" x14ac:dyDescent="0.2"/>
    <row r="92" spans="2:29" x14ac:dyDescent="0.2"/>
    <row r="93" spans="2:29" x14ac:dyDescent="0.2"/>
    <row r="94" spans="2:29" x14ac:dyDescent="0.2"/>
    <row r="95" spans="2:29" x14ac:dyDescent="0.2"/>
    <row r="96" spans="2:29" x14ac:dyDescent="0.2"/>
    <row r="97" x14ac:dyDescent="0.2"/>
    <row r="98" x14ac:dyDescent="0.2"/>
  </sheetData>
  <sheetProtection algorithmName="SHA-512" hashValue="rbd6seDqv1aoBwjVEbn3133d2e4tnE9v/CUwyjGwEwU7AULdqqSIGsMeqkLDXHUzrsndbrJ+XgPyZkuA8lBJ6A==" saltValue="rp0Oe42w0p1xj7+hu1YrlA==" spinCount="100000" sheet="1" objects="1" scenarios="1" selectLockedCells="1"/>
  <mergeCells count="83">
    <mergeCell ref="F22:J22"/>
    <mergeCell ref="F3:T3"/>
    <mergeCell ref="E4:T6"/>
    <mergeCell ref="T32:X32"/>
    <mergeCell ref="T21:X21"/>
    <mergeCell ref="T22:X22"/>
    <mergeCell ref="T23:X23"/>
    <mergeCell ref="T24:X24"/>
    <mergeCell ref="T16:X16"/>
    <mergeCell ref="T18:Z18"/>
    <mergeCell ref="T19:Z19"/>
    <mergeCell ref="F20:J20"/>
    <mergeCell ref="R25:AC25"/>
    <mergeCell ref="T26:X26"/>
    <mergeCell ref="F52:J52"/>
    <mergeCell ref="E54:I54"/>
    <mergeCell ref="T46:X46"/>
    <mergeCell ref="T44:X44"/>
    <mergeCell ref="T34:X34"/>
    <mergeCell ref="T35:X35"/>
    <mergeCell ref="T41:X41"/>
    <mergeCell ref="T42:X42"/>
    <mergeCell ref="E37:I37"/>
    <mergeCell ref="E39:I39"/>
    <mergeCell ref="T37:X37"/>
    <mergeCell ref="T39:X39"/>
    <mergeCell ref="E43:I43"/>
    <mergeCell ref="T43:X43"/>
    <mergeCell ref="T40:X40"/>
    <mergeCell ref="T36:X36"/>
    <mergeCell ref="E55:I55"/>
    <mergeCell ref="F8:J8"/>
    <mergeCell ref="F14:J14"/>
    <mergeCell ref="E27:I27"/>
    <mergeCell ref="E28:I28"/>
    <mergeCell ref="E29:I29"/>
    <mergeCell ref="E30:I30"/>
    <mergeCell ref="E31:I31"/>
    <mergeCell ref="E18:O18"/>
    <mergeCell ref="E38:I38"/>
    <mergeCell ref="E40:I40"/>
    <mergeCell ref="E46:I46"/>
    <mergeCell ref="K16:M16"/>
    <mergeCell ref="I49:O49"/>
    <mergeCell ref="E44:I44"/>
    <mergeCell ref="F26:J26"/>
    <mergeCell ref="E80:I80"/>
    <mergeCell ref="E81:I81"/>
    <mergeCell ref="E67:I67"/>
    <mergeCell ref="E68:I68"/>
    <mergeCell ref="E69:I69"/>
    <mergeCell ref="E70:I70"/>
    <mergeCell ref="E71:I71"/>
    <mergeCell ref="E56:I56"/>
    <mergeCell ref="E57:I57"/>
    <mergeCell ref="E58:I58"/>
    <mergeCell ref="E59:I59"/>
    <mergeCell ref="E63:T63"/>
    <mergeCell ref="G62:J62"/>
    <mergeCell ref="F61:J61"/>
    <mergeCell ref="T38:X38"/>
    <mergeCell ref="T27:X27"/>
    <mergeCell ref="T28:X28"/>
    <mergeCell ref="T29:X29"/>
    <mergeCell ref="T30:X30"/>
    <mergeCell ref="T31:X31"/>
    <mergeCell ref="T33:X33"/>
    <mergeCell ref="E89:T89"/>
    <mergeCell ref="E76:T76"/>
    <mergeCell ref="E32:I32"/>
    <mergeCell ref="E33:I33"/>
    <mergeCell ref="E34:I34"/>
    <mergeCell ref="E35:I35"/>
    <mergeCell ref="E36:I36"/>
    <mergeCell ref="E41:I41"/>
    <mergeCell ref="E42:I42"/>
    <mergeCell ref="F87:I87"/>
    <mergeCell ref="E82:I82"/>
    <mergeCell ref="E83:I83"/>
    <mergeCell ref="E84:I84"/>
    <mergeCell ref="E85:I85"/>
    <mergeCell ref="E72:I72"/>
    <mergeCell ref="F74:I74"/>
  </mergeCells>
  <dataValidations count="4">
    <dataValidation type="list" allowBlank="1" showInputMessage="1" showErrorMessage="1" sqref="Y16 N22:N24 K16:L16 Y24 N27:N44 Y27:Y44" xr:uid="{E6DC8A56-E92E-46F6-BBF2-952F18BC3B2D}">
      <formula1>"Yes,No"</formula1>
    </dataValidation>
    <dataValidation type="list" allowBlank="1" showInputMessage="1" showErrorMessage="1" sqref="Y21" xr:uid="{E363D278-5B8A-4577-9882-82D958FBBE5D}">
      <formula1>"Wensum, Yare, Bure"</formula1>
    </dataValidation>
    <dataValidation type="list" allowBlank="1" showInputMessage="1" showErrorMessage="1" sqref="Y22" xr:uid="{2480826A-6731-4237-8754-C8F2BFE5DC89}">
      <formula1>"Freely draining, Impermeable - drained for arable, Impermeable - drained for arable and grassland"</formula1>
    </dataValidation>
    <dataValidation type="list" allowBlank="1" showInputMessage="1" showErrorMessage="1" sqref="Y23" xr:uid="{9EAD6338-C63C-42E9-8E55-D727E1317DF2}">
      <formula1>"550-575,575-600,600-625,625-650,650-675,675-700,700-750,750-800,800-850,850-900"</formula1>
    </dataValidation>
  </dataValidations>
  <pageMargins left="0.25" right="0.25" top="0.75" bottom="0.75" header="0.3" footer="0.3"/>
  <pageSetup paperSize="9" scale="45" orientation="portrait" horizontalDpi="360" verticalDpi="360" r:id="rId1"/>
  <headerFooter>
    <oddHeader>&amp;LPhosphate Budget Calculator&amp;CStage 5</oddHeader>
    <oddFooter>&amp;LVersion 2.2&amp;R&amp;D</oddFooter>
  </headerFooter>
  <customProperties>
    <customPr name="SSC_SHEET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738E8-23FB-4EF4-93D7-F20AF82EABDB}">
  <sheetPr>
    <tabColor theme="7" tint="0.79998168889431442"/>
    <pageSetUpPr fitToPage="1"/>
  </sheetPr>
  <dimension ref="A1:AM90"/>
  <sheetViews>
    <sheetView zoomScaleNormal="100" workbookViewId="0">
      <selection activeCell="K15" sqref="K15:L15"/>
    </sheetView>
  </sheetViews>
  <sheetFormatPr defaultRowHeight="12.75" zeroHeight="1" x14ac:dyDescent="0.2"/>
  <cols>
    <col min="2" max="3" width="0.85546875" customWidth="1"/>
    <col min="4" max="4" width="2.28515625" customWidth="1"/>
    <col min="5" max="5" width="10.7109375" customWidth="1"/>
    <col min="7" max="7" width="10" customWidth="1"/>
    <col min="8" max="8" width="10.28515625" customWidth="1"/>
    <col min="9" max="9" width="14" customWidth="1"/>
    <col min="10" max="10" width="13.5703125" customWidth="1"/>
    <col min="11" max="11" width="10.42578125" customWidth="1"/>
    <col min="12" max="12" width="1.7109375" customWidth="1"/>
    <col min="13" max="13" width="9.28515625" customWidth="1"/>
    <col min="14" max="14" width="13.85546875" customWidth="1"/>
    <col min="15" max="15" width="10.5703125" customWidth="1"/>
    <col min="16" max="16" width="2.28515625" customWidth="1"/>
    <col min="17" max="17" width="10.140625" customWidth="1"/>
    <col min="18" max="18" width="5.42578125" customWidth="1"/>
    <col min="19" max="19" width="0.85546875" customWidth="1"/>
    <col min="20" max="20" width="12.28515625" customWidth="1"/>
    <col min="22" max="22" width="25.5703125" customWidth="1"/>
    <col min="23" max="23" width="12.140625" customWidth="1"/>
    <col min="24" max="24" width="10.140625" hidden="1" customWidth="1"/>
    <col min="25" max="25" width="8.42578125" customWidth="1"/>
    <col min="26" max="26" width="1.5703125" customWidth="1"/>
    <col min="27" max="27" width="1.85546875" customWidth="1"/>
    <col min="32" max="32" width="8.7109375" customWidth="1"/>
  </cols>
  <sheetData>
    <row r="1" spans="1:27" ht="9.9499999999999993" customHeight="1" thickBot="1" x14ac:dyDescent="0.25">
      <c r="A1" s="78" t="s">
        <v>566</v>
      </c>
    </row>
    <row r="2" spans="1:27" ht="9" customHeight="1" x14ac:dyDescent="0.2">
      <c r="B2" s="43"/>
      <c r="C2" s="44"/>
      <c r="D2" s="44"/>
      <c r="E2" s="44"/>
      <c r="F2" s="44"/>
      <c r="G2" s="44"/>
      <c r="H2" s="44"/>
      <c r="I2" s="44"/>
      <c r="J2" s="44"/>
      <c r="K2" s="44"/>
      <c r="L2" s="44"/>
      <c r="M2" s="44"/>
      <c r="N2" s="44"/>
      <c r="O2" s="44"/>
      <c r="P2" s="44"/>
      <c r="Q2" s="44"/>
      <c r="R2" s="44"/>
      <c r="S2" s="45"/>
      <c r="T2" s="40"/>
      <c r="U2" s="40"/>
      <c r="V2" s="40"/>
      <c r="W2" s="40"/>
      <c r="X2" s="40"/>
      <c r="Y2" s="40"/>
      <c r="Z2" s="40"/>
      <c r="AA2" s="40"/>
    </row>
    <row r="3" spans="1:27" ht="28.5" customHeight="1" x14ac:dyDescent="0.25">
      <c r="B3" s="46"/>
      <c r="C3" s="229"/>
      <c r="D3" s="278"/>
      <c r="E3" s="197" t="s">
        <v>566</v>
      </c>
      <c r="F3" s="433" t="s">
        <v>433</v>
      </c>
      <c r="G3" s="433"/>
      <c r="H3" s="433"/>
      <c r="I3" s="433"/>
      <c r="J3" s="433"/>
      <c r="K3" s="433"/>
      <c r="L3" s="433"/>
      <c r="M3" s="433"/>
      <c r="N3" s="433"/>
      <c r="O3" s="433"/>
      <c r="P3" s="433"/>
      <c r="Q3" s="433"/>
      <c r="R3" s="433"/>
      <c r="S3" s="235"/>
      <c r="T3" s="229"/>
      <c r="U3" s="229"/>
      <c r="V3" s="229"/>
      <c r="W3" s="229"/>
      <c r="X3" s="229"/>
      <c r="Y3" s="229"/>
      <c r="Z3" s="229"/>
      <c r="AA3" s="229"/>
    </row>
    <row r="4" spans="1:27" ht="6.75" customHeight="1" x14ac:dyDescent="0.25">
      <c r="B4" s="46"/>
      <c r="C4" s="279"/>
      <c r="D4" s="279"/>
      <c r="E4" s="428" t="s">
        <v>611</v>
      </c>
      <c r="F4" s="428"/>
      <c r="G4" s="428"/>
      <c r="H4" s="428"/>
      <c r="I4" s="428"/>
      <c r="J4" s="428"/>
      <c r="K4" s="428"/>
      <c r="L4" s="428"/>
      <c r="M4" s="428"/>
      <c r="N4" s="428"/>
      <c r="O4" s="428"/>
      <c r="P4" s="428"/>
      <c r="Q4" s="428"/>
      <c r="R4" s="428"/>
      <c r="S4" s="235"/>
      <c r="T4" s="229"/>
      <c r="U4" s="229"/>
      <c r="V4" s="229"/>
      <c r="W4" s="229"/>
      <c r="X4" s="229"/>
      <c r="Y4" s="229"/>
      <c r="Z4" s="229"/>
      <c r="AA4" s="229"/>
    </row>
    <row r="5" spans="1:27" ht="6.75" customHeight="1" x14ac:dyDescent="0.25">
      <c r="B5" s="46"/>
      <c r="C5" s="279"/>
      <c r="D5" s="279"/>
      <c r="E5" s="428"/>
      <c r="F5" s="428"/>
      <c r="G5" s="428"/>
      <c r="H5" s="428"/>
      <c r="I5" s="428"/>
      <c r="J5" s="428"/>
      <c r="K5" s="428"/>
      <c r="L5" s="428"/>
      <c r="M5" s="428"/>
      <c r="N5" s="428"/>
      <c r="O5" s="428"/>
      <c r="P5" s="428"/>
      <c r="Q5" s="428"/>
      <c r="R5" s="428"/>
      <c r="S5" s="235"/>
      <c r="T5" s="229"/>
      <c r="U5" s="229"/>
      <c r="V5" s="229"/>
      <c r="W5" s="229"/>
      <c r="X5" s="229"/>
      <c r="Y5" s="229"/>
      <c r="Z5" s="229"/>
      <c r="AA5" s="229"/>
    </row>
    <row r="6" spans="1:27" ht="24.75" customHeight="1" x14ac:dyDescent="0.25">
      <c r="B6" s="46"/>
      <c r="C6" s="227"/>
      <c r="D6" s="227"/>
      <c r="E6" s="428"/>
      <c r="F6" s="428"/>
      <c r="G6" s="428"/>
      <c r="H6" s="428"/>
      <c r="I6" s="428"/>
      <c r="J6" s="428"/>
      <c r="K6" s="428"/>
      <c r="L6" s="428"/>
      <c r="M6" s="428"/>
      <c r="N6" s="428"/>
      <c r="O6" s="428"/>
      <c r="P6" s="428"/>
      <c r="Q6" s="428"/>
      <c r="R6" s="428"/>
      <c r="S6" s="235"/>
      <c r="T6" s="229"/>
      <c r="U6" s="229"/>
      <c r="V6" s="229"/>
      <c r="W6" s="229"/>
      <c r="X6" s="229"/>
      <c r="Y6" s="229"/>
      <c r="Z6" s="229"/>
      <c r="AA6" s="229"/>
    </row>
    <row r="7" spans="1:27" ht="21" customHeight="1" x14ac:dyDescent="0.25">
      <c r="B7" s="46"/>
      <c r="C7" s="227"/>
      <c r="D7" s="272"/>
      <c r="E7" s="280"/>
      <c r="F7" s="280"/>
      <c r="G7" s="280"/>
      <c r="H7" s="280"/>
      <c r="I7" s="280"/>
      <c r="J7" s="280"/>
      <c r="K7" s="280"/>
      <c r="L7" s="280"/>
      <c r="M7" s="280"/>
      <c r="N7" s="280"/>
      <c r="O7" s="280"/>
      <c r="P7" s="280"/>
      <c r="Q7" s="280"/>
      <c r="R7" s="280"/>
      <c r="S7" s="235"/>
      <c r="T7" s="229"/>
      <c r="U7" s="229"/>
      <c r="V7" s="229"/>
      <c r="W7" s="229"/>
      <c r="X7" s="229"/>
      <c r="Y7" s="229"/>
      <c r="Z7" s="229"/>
      <c r="AA7" s="229"/>
    </row>
    <row r="8" spans="1:27" ht="37.5" customHeight="1" x14ac:dyDescent="0.25">
      <c r="B8" s="46"/>
      <c r="C8" s="227"/>
      <c r="D8" s="227"/>
      <c r="E8" s="48" t="s">
        <v>5</v>
      </c>
      <c r="F8" s="374" t="s">
        <v>506</v>
      </c>
      <c r="G8" s="374"/>
      <c r="H8" s="374"/>
      <c r="I8" s="374"/>
      <c r="J8" s="374"/>
      <c r="K8" s="144" t="s">
        <v>2</v>
      </c>
      <c r="L8" s="144"/>
      <c r="M8" s="144" t="s">
        <v>3</v>
      </c>
      <c r="N8" s="144"/>
      <c r="O8" s="144"/>
      <c r="P8" s="144"/>
      <c r="Q8" s="144"/>
      <c r="R8" s="49"/>
      <c r="S8" s="235"/>
      <c r="T8" s="229"/>
      <c r="U8" s="229"/>
      <c r="V8" s="229"/>
      <c r="W8" s="229"/>
      <c r="X8" s="229"/>
      <c r="Y8" s="229"/>
      <c r="Z8" s="229"/>
      <c r="AA8" s="229"/>
    </row>
    <row r="9" spans="1:27" ht="7.5" customHeight="1" x14ac:dyDescent="0.25">
      <c r="B9" s="46"/>
      <c r="C9" s="227"/>
      <c r="D9" s="227"/>
      <c r="E9" s="49"/>
      <c r="F9" s="49"/>
      <c r="G9" s="49"/>
      <c r="H9" s="49"/>
      <c r="I9" s="49"/>
      <c r="J9" s="49"/>
      <c r="K9" s="49"/>
      <c r="L9" s="49"/>
      <c r="M9" s="49"/>
      <c r="N9" s="49"/>
      <c r="O9" s="49"/>
      <c r="P9" s="49"/>
      <c r="Q9" s="49"/>
      <c r="R9" s="49"/>
      <c r="S9" s="235"/>
      <c r="T9" s="229"/>
      <c r="U9" s="229"/>
      <c r="V9" s="229"/>
      <c r="W9" s="229"/>
      <c r="X9" s="229"/>
      <c r="Y9" s="229"/>
      <c r="Z9" s="229"/>
      <c r="AA9" s="229"/>
    </row>
    <row r="10" spans="1:27" ht="30.95" customHeight="1" x14ac:dyDescent="0.25">
      <c r="B10" s="46"/>
      <c r="C10" s="227"/>
      <c r="D10" s="227"/>
      <c r="E10" s="49"/>
      <c r="F10" s="38" t="s">
        <v>435</v>
      </c>
      <c r="G10" s="49"/>
      <c r="H10" s="49"/>
      <c r="I10" s="49"/>
      <c r="J10" s="49"/>
      <c r="K10" s="273" t="str">
        <f>IF('Stage 4'!M43&gt;0,'Stage 4'!M43,0)</f>
        <v/>
      </c>
      <c r="L10" s="269"/>
      <c r="M10" s="246" t="s">
        <v>15</v>
      </c>
      <c r="N10" s="246"/>
      <c r="O10" s="246"/>
      <c r="P10" s="246"/>
      <c r="Q10" s="246"/>
      <c r="R10" s="49"/>
      <c r="S10" s="235"/>
      <c r="T10" s="229"/>
      <c r="U10" s="229"/>
      <c r="V10" s="229"/>
      <c r="W10" s="229"/>
      <c r="X10" s="229"/>
      <c r="Y10" s="229"/>
      <c r="Z10" s="229"/>
      <c r="AA10" s="229"/>
    </row>
    <row r="11" spans="1:27" ht="17.45" customHeight="1" thickBot="1" x14ac:dyDescent="0.3">
      <c r="B11" s="46"/>
      <c r="C11" s="227"/>
      <c r="D11" s="227"/>
      <c r="E11" s="49"/>
      <c r="F11" s="49"/>
      <c r="G11" s="49"/>
      <c r="H11" s="49"/>
      <c r="I11" s="49"/>
      <c r="J11" s="49"/>
      <c r="K11" s="49"/>
      <c r="L11" s="49"/>
      <c r="M11" s="49"/>
      <c r="N11" s="49"/>
      <c r="O11" s="49"/>
      <c r="P11" s="49"/>
      <c r="Q11" s="247"/>
      <c r="R11" s="247"/>
      <c r="S11" s="235"/>
      <c r="T11" s="311"/>
      <c r="U11" s="252"/>
      <c r="V11" s="252"/>
      <c r="W11" s="252"/>
      <c r="X11" s="252"/>
      <c r="Y11" s="252"/>
      <c r="Z11" s="252"/>
      <c r="AA11" s="252"/>
    </row>
    <row r="12" spans="1:27" ht="6.95" customHeight="1" x14ac:dyDescent="0.25">
      <c r="B12" s="46"/>
      <c r="C12" s="227"/>
      <c r="D12" s="272"/>
      <c r="E12" s="259"/>
      <c r="F12" s="259"/>
      <c r="G12" s="259"/>
      <c r="H12" s="259"/>
      <c r="I12" s="259"/>
      <c r="J12" s="259"/>
      <c r="K12" s="259"/>
      <c r="L12" s="259"/>
      <c r="M12" s="259"/>
      <c r="N12" s="259"/>
      <c r="O12" s="259"/>
      <c r="P12" s="259"/>
      <c r="Q12" s="49"/>
      <c r="R12" s="49"/>
      <c r="S12" s="227"/>
      <c r="T12" s="227"/>
      <c r="U12" s="227"/>
      <c r="V12" s="227"/>
      <c r="W12" s="227"/>
      <c r="X12" s="227"/>
      <c r="Y12" s="227"/>
      <c r="Z12" s="227"/>
      <c r="AA12" s="312"/>
    </row>
    <row r="13" spans="1:27" ht="15.95" customHeight="1" x14ac:dyDescent="0.25">
      <c r="B13" s="46"/>
      <c r="C13" s="227"/>
      <c r="D13" s="227"/>
      <c r="E13" s="48" t="s">
        <v>8</v>
      </c>
      <c r="F13" s="374" t="s">
        <v>65</v>
      </c>
      <c r="G13" s="374"/>
      <c r="H13" s="374"/>
      <c r="I13" s="374"/>
      <c r="J13" s="374"/>
      <c r="K13" s="49"/>
      <c r="L13" s="49"/>
      <c r="M13" s="49"/>
      <c r="N13" s="49"/>
      <c r="O13" s="49"/>
      <c r="P13" s="49"/>
      <c r="Q13" s="49"/>
      <c r="R13" s="49"/>
      <c r="S13" s="49"/>
      <c r="T13" s="49"/>
      <c r="U13" s="49"/>
      <c r="V13" s="49"/>
      <c r="W13" s="49"/>
      <c r="X13" s="49"/>
      <c r="Y13" s="49"/>
      <c r="Z13" s="49"/>
      <c r="AA13" s="313"/>
    </row>
    <row r="14" spans="1:27" ht="10.5" customHeight="1" x14ac:dyDescent="0.25">
      <c r="B14" s="46"/>
      <c r="C14" s="227"/>
      <c r="D14" s="227"/>
      <c r="E14" s="49"/>
      <c r="F14" s="49"/>
      <c r="G14" s="49"/>
      <c r="H14" s="49"/>
      <c r="I14" s="49"/>
      <c r="J14" s="49"/>
      <c r="K14" s="49"/>
      <c r="L14" s="49"/>
      <c r="M14" s="49"/>
      <c r="N14" s="49"/>
      <c r="O14" s="258"/>
      <c r="P14" s="49"/>
      <c r="Q14" s="49"/>
      <c r="R14" s="49"/>
      <c r="S14" s="49"/>
      <c r="T14" s="49"/>
      <c r="U14" s="49"/>
      <c r="V14" s="49"/>
      <c r="W14" s="66"/>
      <c r="X14" s="49"/>
      <c r="Y14" s="49"/>
      <c r="Z14" s="49"/>
      <c r="AA14" s="313"/>
    </row>
    <row r="15" spans="1:27" ht="14.45" customHeight="1" x14ac:dyDescent="0.25">
      <c r="B15" s="46"/>
      <c r="C15" s="227"/>
      <c r="D15" s="227"/>
      <c r="E15" s="66" t="s">
        <v>58</v>
      </c>
      <c r="F15" s="49" t="s">
        <v>82</v>
      </c>
      <c r="G15" s="49"/>
      <c r="H15" s="49"/>
      <c r="I15" s="49"/>
      <c r="J15" s="49"/>
      <c r="K15" s="450" t="s">
        <v>62</v>
      </c>
      <c r="L15" s="450"/>
      <c r="M15" s="66"/>
      <c r="N15" s="49"/>
      <c r="O15" s="258"/>
      <c r="P15" s="49"/>
      <c r="Q15" s="67"/>
      <c r="R15" s="374" t="s">
        <v>83</v>
      </c>
      <c r="S15" s="374"/>
      <c r="T15" s="374"/>
      <c r="U15" s="374"/>
      <c r="V15" s="374"/>
      <c r="W15" s="238" t="s">
        <v>62</v>
      </c>
      <c r="X15" s="49"/>
      <c r="Y15" s="49"/>
      <c r="Z15" s="49"/>
      <c r="AA15" s="313"/>
    </row>
    <row r="16" spans="1:27" ht="14.45" customHeight="1" x14ac:dyDescent="0.25">
      <c r="B16" s="46"/>
      <c r="C16" s="227"/>
      <c r="D16" s="227"/>
      <c r="E16" s="49"/>
      <c r="F16" s="49"/>
      <c r="G16" s="49"/>
      <c r="H16" s="49"/>
      <c r="I16" s="49"/>
      <c r="J16" s="49"/>
      <c r="K16" s="49"/>
      <c r="L16" s="49"/>
      <c r="M16" s="49"/>
      <c r="N16" s="49"/>
      <c r="O16" s="258"/>
      <c r="P16" s="49"/>
      <c r="Q16" s="49"/>
      <c r="R16" s="49"/>
      <c r="S16" s="49"/>
      <c r="T16" s="49"/>
      <c r="U16" s="49"/>
      <c r="V16" s="49"/>
      <c r="W16" s="49"/>
      <c r="X16" s="49"/>
      <c r="Y16" s="49"/>
      <c r="Z16" s="49"/>
      <c r="AA16" s="313"/>
    </row>
    <row r="17" spans="2:39" ht="61.5" customHeight="1" x14ac:dyDescent="0.25">
      <c r="B17" s="46"/>
      <c r="C17" s="227"/>
      <c r="D17" s="227"/>
      <c r="E17" s="449" t="s">
        <v>91</v>
      </c>
      <c r="F17" s="449"/>
      <c r="G17" s="449"/>
      <c r="H17" s="449"/>
      <c r="I17" s="449"/>
      <c r="J17" s="449"/>
      <c r="K17" s="449"/>
      <c r="L17" s="449"/>
      <c r="M17" s="449"/>
      <c r="N17" s="449"/>
      <c r="O17" s="258"/>
      <c r="P17" s="49"/>
      <c r="Q17" s="49"/>
      <c r="R17" s="449" t="s">
        <v>88</v>
      </c>
      <c r="S17" s="449"/>
      <c r="T17" s="449"/>
      <c r="U17" s="449"/>
      <c r="V17" s="449"/>
      <c r="W17" s="449"/>
      <c r="X17" s="449"/>
      <c r="Y17" s="314"/>
      <c r="Z17" s="314"/>
      <c r="AA17" s="313"/>
    </row>
    <row r="18" spans="2:39" ht="14.45" customHeight="1" x14ac:dyDescent="0.25">
      <c r="B18" s="46"/>
      <c r="C18" s="227"/>
      <c r="D18" s="227"/>
      <c r="E18" s="49"/>
      <c r="F18" s="49"/>
      <c r="G18" s="49"/>
      <c r="H18" s="49"/>
      <c r="I18" s="49"/>
      <c r="J18" s="49"/>
      <c r="K18" s="49"/>
      <c r="L18" s="49"/>
      <c r="M18" s="49"/>
      <c r="N18" s="49"/>
      <c r="O18" s="258"/>
      <c r="P18" s="49"/>
      <c r="Q18" s="49"/>
      <c r="R18" s="374" t="s">
        <v>87</v>
      </c>
      <c r="S18" s="374"/>
      <c r="T18" s="374"/>
      <c r="U18" s="374"/>
      <c r="V18" s="374"/>
      <c r="W18" s="374"/>
      <c r="X18" s="374"/>
      <c r="Y18" s="49"/>
      <c r="Z18" s="49"/>
      <c r="AA18" s="313"/>
    </row>
    <row r="19" spans="2:39" ht="15.95" customHeight="1" x14ac:dyDescent="0.25">
      <c r="B19" s="46"/>
      <c r="C19" s="227"/>
      <c r="D19" s="227"/>
      <c r="E19" s="66"/>
      <c r="F19" s="374" t="s">
        <v>137</v>
      </c>
      <c r="G19" s="374"/>
      <c r="H19" s="374"/>
      <c r="I19" s="374"/>
      <c r="J19" s="374"/>
      <c r="K19" s="144" t="s">
        <v>2</v>
      </c>
      <c r="L19" s="144"/>
      <c r="M19" s="66"/>
      <c r="N19" s="144" t="s">
        <v>3</v>
      </c>
      <c r="O19" s="258"/>
      <c r="P19" s="49"/>
      <c r="Q19" s="49"/>
      <c r="R19" s="226"/>
      <c r="S19" s="226"/>
      <c r="T19" s="226"/>
      <c r="U19" s="226"/>
      <c r="V19" s="226"/>
      <c r="W19" s="226"/>
      <c r="X19" s="226"/>
      <c r="Y19" s="142"/>
      <c r="Z19" s="142"/>
      <c r="AA19" s="313"/>
    </row>
    <row r="20" spans="2:39" ht="13.5" customHeight="1" x14ac:dyDescent="0.25">
      <c r="B20" s="46"/>
      <c r="C20" s="227"/>
      <c r="D20" s="227"/>
      <c r="E20" s="49"/>
      <c r="F20" s="49"/>
      <c r="G20" s="49"/>
      <c r="H20" s="49"/>
      <c r="I20" s="49"/>
      <c r="J20" s="49"/>
      <c r="K20" s="144" t="s">
        <v>436</v>
      </c>
      <c r="L20" s="49"/>
      <c r="M20" s="49"/>
      <c r="N20" s="49"/>
      <c r="O20" s="258"/>
      <c r="P20" s="49"/>
      <c r="Q20" s="49"/>
      <c r="R20" s="374" t="s">
        <v>380</v>
      </c>
      <c r="S20" s="374"/>
      <c r="T20" s="374"/>
      <c r="U20" s="374"/>
      <c r="V20" s="374"/>
      <c r="W20" s="238" t="s">
        <v>385</v>
      </c>
      <c r="X20" s="49"/>
      <c r="Y20" s="49"/>
      <c r="Z20" s="49"/>
      <c r="AA20" s="313"/>
    </row>
    <row r="21" spans="2:39" ht="41.1" customHeight="1" x14ac:dyDescent="0.25">
      <c r="B21" s="46"/>
      <c r="C21" s="227"/>
      <c r="D21" s="227"/>
      <c r="E21" s="49"/>
      <c r="F21" s="382" t="s">
        <v>85</v>
      </c>
      <c r="G21" s="382"/>
      <c r="H21" s="382"/>
      <c r="I21" s="382"/>
      <c r="J21" s="382"/>
      <c r="K21" s="273">
        <f>'Stage 2'!K46/'Stage 2'!K41</f>
        <v>1.0317036962029649</v>
      </c>
      <c r="L21" s="269"/>
      <c r="M21" s="238" t="s">
        <v>62</v>
      </c>
      <c r="N21" s="246" t="s">
        <v>81</v>
      </c>
      <c r="O21" s="258"/>
      <c r="P21" s="49"/>
      <c r="Q21" s="48"/>
      <c r="R21" s="374" t="s">
        <v>379</v>
      </c>
      <c r="S21" s="374"/>
      <c r="T21" s="374"/>
      <c r="U21" s="374"/>
      <c r="V21" s="374"/>
      <c r="W21" s="257" t="s">
        <v>384</v>
      </c>
      <c r="X21" s="49"/>
      <c r="Y21" s="142"/>
      <c r="Z21" s="142"/>
      <c r="AA21" s="313"/>
    </row>
    <row r="22" spans="2:39" ht="15.95" customHeight="1" x14ac:dyDescent="0.25">
      <c r="B22" s="46"/>
      <c r="C22" s="227"/>
      <c r="D22" s="227"/>
      <c r="E22" s="49"/>
      <c r="F22" s="146"/>
      <c r="G22" s="146"/>
      <c r="H22" s="146"/>
      <c r="I22" s="146"/>
      <c r="J22" s="146"/>
      <c r="K22" s="269"/>
      <c r="L22" s="269"/>
      <c r="M22" s="239"/>
      <c r="N22" s="246"/>
      <c r="O22" s="258"/>
      <c r="P22" s="49"/>
      <c r="Q22" s="48"/>
      <c r="R22" s="374" t="s">
        <v>383</v>
      </c>
      <c r="S22" s="374"/>
      <c r="T22" s="374"/>
      <c r="U22" s="374"/>
      <c r="V22" s="374"/>
      <c r="W22" s="238" t="s">
        <v>476</v>
      </c>
      <c r="X22" s="142"/>
      <c r="Y22" s="142"/>
      <c r="Z22" s="142"/>
      <c r="AA22" s="313"/>
    </row>
    <row r="23" spans="2:39" ht="15.95" customHeight="1" x14ac:dyDescent="0.25">
      <c r="B23" s="46"/>
      <c r="C23" s="227"/>
      <c r="D23" s="227"/>
      <c r="E23" s="49"/>
      <c r="F23" s="146"/>
      <c r="G23" s="146"/>
      <c r="H23" s="146"/>
      <c r="I23" s="146"/>
      <c r="J23" s="146"/>
      <c r="K23" s="269"/>
      <c r="L23" s="269"/>
      <c r="M23" s="239"/>
      <c r="N23" s="246"/>
      <c r="O23" s="258"/>
      <c r="P23" s="49"/>
      <c r="Q23" s="48"/>
      <c r="R23" s="374" t="s">
        <v>381</v>
      </c>
      <c r="S23" s="374"/>
      <c r="T23" s="374"/>
      <c r="U23" s="374"/>
      <c r="V23" s="374"/>
      <c r="W23" s="238" t="s">
        <v>13</v>
      </c>
      <c r="X23" s="142"/>
      <c r="Y23" s="142"/>
      <c r="Z23" s="142"/>
      <c r="AA23" s="313"/>
    </row>
    <row r="24" spans="2:39" ht="36.6" customHeight="1" x14ac:dyDescent="0.25">
      <c r="B24" s="46"/>
      <c r="C24" s="227"/>
      <c r="D24" s="227"/>
      <c r="E24" s="49"/>
      <c r="F24" s="38"/>
      <c r="G24" s="49"/>
      <c r="H24" s="49"/>
      <c r="I24" s="49"/>
      <c r="J24" s="49"/>
      <c r="K24" s="269"/>
      <c r="L24" s="269"/>
      <c r="M24" s="144"/>
      <c r="N24" s="246"/>
      <c r="O24" s="258"/>
      <c r="P24" s="49"/>
      <c r="Q24" s="451"/>
      <c r="R24" s="451"/>
      <c r="S24" s="451"/>
      <c r="T24" s="451"/>
      <c r="U24" s="451"/>
      <c r="V24" s="451"/>
      <c r="W24" s="451"/>
      <c r="X24" s="451"/>
      <c r="Y24" s="451"/>
      <c r="Z24" s="451"/>
      <c r="AA24" s="452"/>
    </row>
    <row r="25" spans="2:39" ht="24" customHeight="1" x14ac:dyDescent="0.25">
      <c r="B25" s="46"/>
      <c r="C25" s="227"/>
      <c r="D25" s="227"/>
      <c r="E25" s="49"/>
      <c r="F25" s="382" t="s">
        <v>84</v>
      </c>
      <c r="G25" s="382"/>
      <c r="H25" s="382"/>
      <c r="I25" s="382"/>
      <c r="J25" s="382"/>
      <c r="K25" s="144" t="s">
        <v>436</v>
      </c>
      <c r="L25" s="49"/>
      <c r="M25" s="49"/>
      <c r="N25" s="246"/>
      <c r="O25" s="258"/>
      <c r="P25" s="49"/>
      <c r="Q25" s="49"/>
      <c r="R25" s="382" t="s">
        <v>86</v>
      </c>
      <c r="S25" s="382"/>
      <c r="T25" s="382"/>
      <c r="U25" s="382"/>
      <c r="V25" s="382"/>
      <c r="W25" s="49"/>
      <c r="X25" s="49"/>
      <c r="Y25" s="281" t="s">
        <v>396</v>
      </c>
      <c r="Z25" s="281"/>
      <c r="AA25" s="313"/>
    </row>
    <row r="26" spans="2:39" ht="15.95" customHeight="1" x14ac:dyDescent="0.25">
      <c r="B26" s="46"/>
      <c r="C26" s="227"/>
      <c r="D26" s="227"/>
      <c r="E26" s="432" t="str">
        <f>'Stage 2'!F22</f>
        <v>High density residential</v>
      </c>
      <c r="F26" s="432"/>
      <c r="G26" s="432"/>
      <c r="H26" s="432"/>
      <c r="I26" s="432"/>
      <c r="J26" s="49"/>
      <c r="K26" s="315" t="str">
        <f>IF('Stage 2'!$K22&gt;0,'Stage 2'!O22/'Stage 2'!$K22,"")</f>
        <v/>
      </c>
      <c r="L26" s="269"/>
      <c r="M26" s="238" t="s">
        <v>62</v>
      </c>
      <c r="N26" s="240" t="s">
        <v>81</v>
      </c>
      <c r="O26" s="258"/>
      <c r="P26" s="49"/>
      <c r="Q26" s="49"/>
      <c r="R26" s="432" t="str">
        <f t="shared" ref="R26:R43" si="0">E26</f>
        <v>High density residential</v>
      </c>
      <c r="S26" s="432"/>
      <c r="T26" s="432"/>
      <c r="U26" s="432"/>
      <c r="V26" s="432"/>
      <c r="W26" s="238" t="s">
        <v>62</v>
      </c>
      <c r="X26" s="49"/>
      <c r="Y26" s="283" t="str">
        <f>IF($W$15="Yes",IF($W26="Yes",IF($W$22="550-575",'Data Tables'!AC39,IF($W$22="575-600",'Data Tables'!AC40,IF($W$22="600-625",'Data Tables'!AC41,IF($W$22="625-650",'Data Tables'!AC42,IF($W$22="650-675",'Data Tables'!AC43,IF($W$22="675-700",'Data Tables'!AC44,IF($W$22="700-750",'Data Tables'!AC45,IF($W$22="750-800",'Data Tables'!AC46,IF($W$22="800-850",'Data Tables'!AC47,'Data Tables'!AC48))))))))),0),"")</f>
        <v/>
      </c>
      <c r="Z26" s="328"/>
      <c r="AA26" s="313"/>
      <c r="AE26" s="114"/>
      <c r="AG26" s="114"/>
      <c r="AI26" s="114"/>
      <c r="AK26" s="114"/>
      <c r="AM26" s="114"/>
    </row>
    <row r="27" spans="2:39" ht="15.95" customHeight="1" x14ac:dyDescent="0.25">
      <c r="B27" s="46"/>
      <c r="C27" s="227"/>
      <c r="D27" s="227"/>
      <c r="E27" s="432" t="str">
        <f>'Stage 2'!F23</f>
        <v>Medium density residential</v>
      </c>
      <c r="F27" s="432"/>
      <c r="G27" s="432"/>
      <c r="H27" s="432"/>
      <c r="I27" s="432"/>
      <c r="J27" s="49"/>
      <c r="K27" s="315" t="str">
        <f>IF('Stage 2'!$K23&gt;0,'Stage 2'!O23/'Stage 2'!$K23,"")</f>
        <v/>
      </c>
      <c r="L27" s="269"/>
      <c r="M27" s="238" t="s">
        <v>62</v>
      </c>
      <c r="N27" s="240" t="s">
        <v>81</v>
      </c>
      <c r="O27" s="258"/>
      <c r="P27" s="49"/>
      <c r="Q27" s="49"/>
      <c r="R27" s="432" t="str">
        <f t="shared" si="0"/>
        <v>Medium density residential</v>
      </c>
      <c r="S27" s="432"/>
      <c r="T27" s="432"/>
      <c r="U27" s="432"/>
      <c r="V27" s="432"/>
      <c r="W27" s="238" t="s">
        <v>62</v>
      </c>
      <c r="X27" s="49"/>
      <c r="Y27" s="283" t="str">
        <f>IF($W$15="Yes",IF($W27="Yes",IF($W$22="550-575",'Data Tables'!AE39,IF($W$22="575-600",'Data Tables'!AE40,IF($W$22="600-625",'Data Tables'!AE41,IF($W$22="625-650",'Data Tables'!AE42,IF($W$22="650-675",'Data Tables'!AE43,IF($W$22="675-700",'Data Tables'!AE44,IF($W$22="700-750",'Data Tables'!AE45,IF($W$22="750-800",'Data Tables'!AE46,IF($W$22="800-850",'Data Tables'!AE47,'Data Tables'!AE48))))))))),0),"")</f>
        <v/>
      </c>
      <c r="Z27" s="328"/>
      <c r="AA27" s="313"/>
    </row>
    <row r="28" spans="2:39" ht="15.95" customHeight="1" x14ac:dyDescent="0.25">
      <c r="B28" s="46"/>
      <c r="C28" s="227"/>
      <c r="D28" s="227"/>
      <c r="E28" s="432" t="str">
        <f>'Stage 2'!F24</f>
        <v>Low density residential</v>
      </c>
      <c r="F28" s="432"/>
      <c r="G28" s="432"/>
      <c r="H28" s="432"/>
      <c r="I28" s="432"/>
      <c r="J28" s="49"/>
      <c r="K28" s="315" t="str">
        <f>IF('Stage 2'!$K24&gt;0,'Stage 2'!O24/'Stage 2'!$K24,"")</f>
        <v/>
      </c>
      <c r="L28" s="269"/>
      <c r="M28" s="238" t="s">
        <v>62</v>
      </c>
      <c r="N28" s="240" t="s">
        <v>81</v>
      </c>
      <c r="O28" s="258"/>
      <c r="P28" s="49"/>
      <c r="Q28" s="49"/>
      <c r="R28" s="432" t="str">
        <f t="shared" si="0"/>
        <v>Low density residential</v>
      </c>
      <c r="S28" s="432"/>
      <c r="T28" s="432"/>
      <c r="U28" s="432"/>
      <c r="V28" s="432"/>
      <c r="W28" s="238" t="s">
        <v>62</v>
      </c>
      <c r="X28" s="49"/>
      <c r="Y28" s="283" t="str">
        <f>IF($W$15="Yes",IF($W28="Yes",IF($W$22="550-575",'Data Tables'!AG39,IF($W$22="575-600",'Data Tables'!AG40,IF($W$22="600-625",'Data Tables'!AG41,IF($W$22="625-650",'Data Tables'!AG42,IF($W$22="650-675",'Data Tables'!AG43,IF($W$22="675-700",'Data Tables'!AG44,IF($W$22="700-750",'Data Tables'!AG45,IF($W$22="750-800",'Data Tables'!AG46,IF($W$22="800-850",'Data Tables'!AG47,'Data Tables'!AG48))))))))),0),"")</f>
        <v/>
      </c>
      <c r="Z28" s="328"/>
      <c r="AA28" s="313"/>
    </row>
    <row r="29" spans="2:39" ht="15.95" customHeight="1" x14ac:dyDescent="0.25">
      <c r="B29" s="46"/>
      <c r="C29" s="227"/>
      <c r="D29" s="227"/>
      <c r="E29" s="432" t="str">
        <f>'Stage 2'!F25</f>
        <v>Commercial / Industrial</v>
      </c>
      <c r="F29" s="432"/>
      <c r="G29" s="432"/>
      <c r="H29" s="432"/>
      <c r="I29" s="432"/>
      <c r="J29" s="49"/>
      <c r="K29" s="315">
        <f>IF('Stage 2'!$K25&gt;0,'Stage 2'!O25/'Stage 2'!$K25,"")</f>
        <v>1.0317036962029649</v>
      </c>
      <c r="L29" s="269"/>
      <c r="M29" s="238" t="s">
        <v>62</v>
      </c>
      <c r="N29" s="240" t="s">
        <v>81</v>
      </c>
      <c r="O29" s="258"/>
      <c r="P29" s="49"/>
      <c r="Q29" s="49"/>
      <c r="R29" s="432" t="str">
        <f t="shared" si="0"/>
        <v>Commercial / Industrial</v>
      </c>
      <c r="S29" s="432"/>
      <c r="T29" s="432"/>
      <c r="U29" s="432"/>
      <c r="V29" s="432"/>
      <c r="W29" s="238" t="s">
        <v>62</v>
      </c>
      <c r="X29" s="49"/>
      <c r="Y29" s="283" t="str">
        <f>IF($W$15="Yes",IF($W29="Yes",IF($W$22="550-575",'Data Tables'!AI39,IF($W$22="575-600",'Data Tables'!AI40,IF($W$22="600-625",'Data Tables'!AI41,IF($W$22="625-650",'Data Tables'!AI42,IF($W$22="650-675",'Data Tables'!AI43,IF($W$22="675-700",'Data Tables'!AI44,IF($W$22="700-750",'Data Tables'!AI45,IF($W$22="750-800",'Data Tables'!AI46,IF($W$22="800-850",'Data Tables'!AI47,'Data Tables'!AI48))))))))),0),"")</f>
        <v/>
      </c>
      <c r="Z29" s="328"/>
      <c r="AA29" s="313"/>
    </row>
    <row r="30" spans="2:39" ht="15.95" customHeight="1" x14ac:dyDescent="0.25">
      <c r="B30" s="46"/>
      <c r="C30" s="227"/>
      <c r="D30" s="227"/>
      <c r="E30" s="432" t="str">
        <f>'Stage 2'!F26</f>
        <v>Urban open space</v>
      </c>
      <c r="F30" s="432"/>
      <c r="G30" s="432"/>
      <c r="H30" s="432"/>
      <c r="I30" s="432"/>
      <c r="J30" s="49"/>
      <c r="K30" s="315" t="str">
        <f>IF('Stage 2'!$K26&gt;0,'Stage 2'!O26/'Stage 2'!$K26,"")</f>
        <v/>
      </c>
      <c r="L30" s="269"/>
      <c r="M30" s="238" t="s">
        <v>62</v>
      </c>
      <c r="N30" s="240" t="s">
        <v>81</v>
      </c>
      <c r="O30" s="258"/>
      <c r="P30" s="49"/>
      <c r="Q30" s="49"/>
      <c r="R30" s="432" t="str">
        <f t="shared" si="0"/>
        <v>Urban open space</v>
      </c>
      <c r="S30" s="432"/>
      <c r="T30" s="432"/>
      <c r="U30" s="432"/>
      <c r="V30" s="432"/>
      <c r="W30" s="238" t="s">
        <v>62</v>
      </c>
      <c r="X30" s="49"/>
      <c r="Y30" s="283" t="str">
        <f>IF($W$15="Yes",IF($W30="Yes",IF($W$22="550-575",'Data Tables'!AK39,IF($W$22="575-600",'Data Tables'!AK40,IF($W$22="600-625",'Data Tables'!AK41,IF($W$22="625-650",'Data Tables'!AK42,IF($W$22="650-675",'Data Tables'!AK43,IF($W$22="675-700",'Data Tables'!AK44,IF($W$22="700-750",'Data Tables'!AK45,IF($W$22="750-800",'Data Tables'!AK46,IF($W$22="800-850",'Data Tables'!AK47,'Data Tables'!AK48))))))))),0),"")</f>
        <v/>
      </c>
      <c r="Z30" s="328"/>
      <c r="AA30" s="313"/>
    </row>
    <row r="31" spans="2:39" ht="15.95" customHeight="1" x14ac:dyDescent="0.25">
      <c r="B31" s="46"/>
      <c r="C31" s="227"/>
      <c r="D31" s="227"/>
      <c r="E31" s="432" t="str">
        <f>'Stage 2'!F27</f>
        <v>Dairy</v>
      </c>
      <c r="F31" s="432"/>
      <c r="G31" s="432"/>
      <c r="H31" s="432"/>
      <c r="I31" s="432"/>
      <c r="J31" s="49"/>
      <c r="K31" s="315" t="str">
        <f>IF('Stage 2'!$K27&gt;0,'Stage 2'!O27/'Stage 2'!$K27,"")</f>
        <v/>
      </c>
      <c r="L31" s="281"/>
      <c r="M31" s="238" t="s">
        <v>62</v>
      </c>
      <c r="N31" s="240" t="s">
        <v>81</v>
      </c>
      <c r="O31" s="258"/>
      <c r="P31" s="49"/>
      <c r="Q31" s="49"/>
      <c r="R31" s="432" t="str">
        <f t="shared" si="0"/>
        <v>Dairy</v>
      </c>
      <c r="S31" s="432"/>
      <c r="T31" s="432"/>
      <c r="U31" s="432"/>
      <c r="V31" s="432"/>
      <c r="W31" s="238" t="s">
        <v>62</v>
      </c>
      <c r="X31" s="49"/>
      <c r="Y31" s="285" t="str">
        <f>IF($W$15="Yes",IF($W31="Yes",IF($W$20="Wensum",(IF($W$21="Freely draining",IF($W$22="550-575",IF($W$23="Yes",'Data Tables'!Y5,'Data Tables'!Z5),IF($W$22="575-600",IF($W$23="Yes",'Data Tables'!Y5,'Data Tables'!Z5),IF($W$22="600-625",IF($W$23="Yes",'Data Tables'!Y5,'Data Tables'!Z5),IF($W$22="625-650",IF($W$23="Yes",'Data Tables'!Y5,'Data Tables'!Z5),IF($W$22="650-675",IF($W$23="Yes",'Data Tables'!Y5,'Data Tables'!Z5),IF($W$22="675-700",IF($W$23="Yes",'Data Tables'!Y5,'Data Tables'!Z5),IF($W$22="700-750",IF($W$23="Yes",'Data Tables'!AE5,'Data Tables'!AF5),IF($W$22="750-800",IF($W$23="Yes",'Data Tables'!AE5,'Data Tables'!AF5),IF($W$22="800-850",IF($W$23="Yes",'Data Tables'!AE5,'Data Tables'!AF5),IF($W$23="Yes",'Data Tables'!AE5,'Data Tables'!AF5)))))))))),IF($W$21="Impermeable - drained for arable",IF($W$22="550-575",IF($W$23="Yes",'Data Tables'!AA5,'Data Tables'!AB5),IF($W$22="575-600",IF($W$23="Yes",'Data Tables'!AA5,'Data Tables'!AB5),IF($W$22="600-625",IF($W$23="Yes",'Data Tables'!AA5,'Data Tables'!AB5),IF($W$22="625-650",IF($W$23="Yes",'Data Tables'!AA5,'Data Tables'!AB5),IF($W$22="650-675",IF($W$23="Yes",'Data Tables'!AA5,'Data Tables'!AB5),IF($W$22="675-700",IF($W$23="Yes",'Data Tables'!AA5,'Data Tables'!AB5),IF($W$22="700-750",IF($W$23="Yes",'Data Tables'!AG5,'Data Tables'!AH5),IF($W$22="750-800",IF($W$23="Yes",'Data Tables'!AG5,'Data Tables'!AH5),IF($W$22="800-850",IF($W$23="Yes",'Data Tables'!AG5,'Data Tables'!AH5),IF($W$23="Yes",'Data Tables'!AG5,'Data Tables'!AH5)))))))))),IF($W$22="550-575",IF($W$23="Yes",'Data Tables'!AC5,'Data Tables'!AD5),IF($W$22="575-600",IF($W$23="Yes",'Data Tables'!AC5,'Data Tables'!AD5),IF($W$22="600-625",IF($W$23="Yes",'Data Tables'!AC5,'Data Tables'!AD5),IF($W$22="625-650",IF($W$23="Yes",'Data Tables'!AC5,'Data Tables'!AD5),IF($W$22="650-675",IF($W$23="Yes",'Data Tables'!AC5,'Data Tables'!AD5),IF($W$22="675-700",IF($W$23="Yes",'Data Tables'!AC5,'Data Tables'!AD5),IF($W$22="700-750",IF($W$23="Yes",'Data Tables'!AI5,'Data Tables'!AJ5),IF($W$22="750-800",IF($W$23="Yes",'Data Tables'!AI5,'Data Tables'!AJ5),IF($W$22="800-850",IF($W$23="Yes",'Data Tables'!AI5,'Data Tables'!AJ5),IF($W$23="Yes",'Data Tables'!AI5,'Data Tables'!AJ5))))))))))))),IF($W$20="Yare",(IF($W$21="Freely draining",IF($W$22="550-575",IF($W$23="Yes",'Data Tables'!Y16,'Data Tables'!Z16),IF($W$22="575-600",IF($W$23="Yes",'Data Tables'!Y16,'Data Tables'!Z16),IF($W$22="600-625",IF($W$23="Yes",'Data Tables'!Y16,'Data Tables'!Z16),IF($W$22="625-650",IF($W$23="Yes",'Data Tables'!Y16,'Data Tables'!Z16),IF($W$22="650-675",IF($W$23="Yes",'Data Tables'!Y16,'Data Tables'!Z16),IF($W$22="675-700",IF($W$23="Yes",'Data Tables'!Y16,'Data Tables'!Z16),IF($W$22="700-750",IF($W$23="Yes",'Data Tables'!AE16,'Data Tables'!AF16),IF($W$22="750-800",IF($W$23="Yes",'Data Tables'!AE16,'Data Tables'!AF16),IF($W$22="800-850",IF($W$23="Yes",'Data Tables'!AE16,'Data Tables'!AF16),IF($W$23="Yes",'Data Tables'!AE16,'Data Tables'!AF16)))))))))),IF($W$21="Impermeable - drained for arable",IF($W$22="550-575",IF($W$23="Yes",'Data Tables'!AA16,'Data Tables'!AB16),IF($W$22="575-600",IF($W$23="Yes",'Data Tables'!AA16,'Data Tables'!AB16),IF($W$22="600-625",IF($W$23="Yes",'Data Tables'!AA16,'Data Tables'!AB16),IF($W$22="625-650",IF($W$23="Yes",'Data Tables'!AA16,'Data Tables'!AB16),IF($W$22="650-675",IF($W$23="Yes",'Data Tables'!AA16,'Data Tables'!AB16),IF($W$22="675-700",IF($W$23="Yes",'Data Tables'!AA16,'Data Tables'!AB16),IF($W$22="700-750",IF($W$23="Yes",'Data Tables'!AG16,'Data Tables'!AH16),IF($W$22="750-800",IF($W$23="Yes",'Data Tables'!AG16,'Data Tables'!AH16),IF($W$22="800-850",IF($W$23="Yes",'Data Tables'!AG16,'Data Tables'!AH16),IF($W$23="Yes",'Data Tables'!AG16,'Data Tables'!AH16)))))))))),IF($W$22="550-575",IF($W$23="Yes",'Data Tables'!AC16,'Data Tables'!AD16),IF($W$22="575-600",IF($W$23="Yes",'Data Tables'!AC16,'Data Tables'!AD16),IF($W$22="600-625",IF($W$23="Yes",'Data Tables'!AC16,'Data Tables'!AD16),IF($W$22="625-650",IF($W$23="Yes",'Data Tables'!AC16,'Data Tables'!AD16),IF($W$22="650-675",IF($W$23="Yes",'Data Tables'!AC16,'Data Tables'!AD16),IF($W$22="675-700",IF($W$23="Yes",'Data Tables'!AC16,'Data Tables'!AD16),IF($W$22="700-750",IF($W$23="Yes",'Data Tables'!AI16,'Data Tables'!AJ16),IF($W$22="750-800",IF($W$23="Yes",'Data Tables'!AI16,'Data Tables'!AJ16),IF($W$22="800-850",IF($W$23="Yes",'Data Tables'!AI16,'Data Tables'!AJ16),IF($W$23="Yes",'Data Tables'!AI16,'Data Tables'!AJ16))))))))))))),(IF($W$21="Freely draining",IF($W$22="550-575",IF($W$23="Yes",'Data Tables'!S27,'Data Tables'!T27),IF($W$22="575-600",IF($W$23="Yes",'Data Tables'!S27,'Data Tables'!T27),IF($W$22="600-625",IF($W$23="Yes",'Data Tables'!Y27,'Data Tables'!Z27),IF($W$22="625-650",IF($W$23="Yes",'Data Tables'!Y27,'Data Tables'!Z27),IF($W$22="650-675",IF($W$23="Yes",'Data Tables'!Y27,'Data Tables'!Z27),IF($W$22="675-700",IF($W$23="Yes",'Data Tables'!Y27,'Data Tables'!Z27),IF($W$22="700-750",IF($W$23="Yes",'Data Tables'!AE27,'Data Tables'!AF27),IF($W$22="750-800",IF($W$23="Yes",'Data Tables'!AE27,'Data Tables'!AF27),IF($W$22="800-850",IF($W$23="Yes",'Data Tables'!AE27,'Data Tables'!AF27),IF($W$23="Yes",'Data Tables'!AE27,'Data Tables'!AF27)))))))))),IF($W$21="Impermeable - drained for arable",IF($W$22="550-575",IF($W$23="Yes",'Data Tables'!U27,'Data Tables'!V27),IF($W$22="575-600",IF($W$23="Yes",'Data Tables'!U27,'Data Tables'!V27),IF($W$22="600-625",IF($W$23="Yes",'Data Tables'!AA27,'Data Tables'!AB27),IF($W$22="625-650",IF($W$23="Yes",'Data Tables'!AA27,'Data Tables'!AB27),IF($W$22="650-675",IF($W$23="Yes",'Data Tables'!AA27,'Data Tables'!AB27),IF($W$22="675-700",IF($W$23="Yes",'Data Tables'!AA27,'Data Tables'!AB27),IF($W$22="700-750",IF($W$23="Yes",'Data Tables'!AG27,'Data Tables'!AH27),IF($W$22="750-800",IF($W$23="Yes",'Data Tables'!AG27,'Data Tables'!AH27),IF($W$22="800-850",IF($W$23="Yes",'Data Tables'!AG27,'Data Tables'!AH27),IF($W$23="Yes",'Data Tables'!AG27,'Data Tables'!AH27)))))))))),IF($W$22="550-575",IF($W$23="Yes",'Data Tables'!W27,'Data Tables'!X27),IF($W$22="575-600",IF($W$23="Yes",'Data Tables'!W27,'Data Tables'!X27),IF($W$22="600-625",IF($W$23="Yes",'Data Tables'!AC27,'Data Tables'!AD27),IF($W$22="625-650",IF($W$23="Yes",'Data Tables'!AC27,'Data Tables'!AD27),IF($W$22="650-675",IF($W$23="Yes",'Data Tables'!AC27,'Data Tables'!AD27),IF($W$22="675-700",IF($W$23="Yes",'Data Tables'!AC27,'Data Tables'!AD27),IF($W$22="700-750",IF($W$23="Yes",'Data Tables'!AI27,'Data Tables'!AJ27),IF($W$22="750-800",IF($W$23="Yes",'Data Tables'!AI27,'Data Tables'!AJ27),IF($W$22="800-850",IF($W$23="Yes",'Data Tables'!AI27,'Data Tables'!AJ27),IF($W$23="Yes",'Data Tables'!AI27,'Data Tables'!AJ27))))))))))))))),0),"")</f>
        <v/>
      </c>
      <c r="Z31" s="330"/>
      <c r="AA31" s="313"/>
    </row>
    <row r="32" spans="2:39" ht="15.95" customHeight="1" x14ac:dyDescent="0.25">
      <c r="B32" s="46"/>
      <c r="C32" s="227"/>
      <c r="D32" s="227"/>
      <c r="E32" s="432" t="str">
        <f>'Stage 2'!F28</f>
        <v>Lowland grazing</v>
      </c>
      <c r="F32" s="432"/>
      <c r="G32" s="432"/>
      <c r="H32" s="432"/>
      <c r="I32" s="432"/>
      <c r="J32" s="49"/>
      <c r="K32" s="315" t="str">
        <f>IF('Stage 2'!$K28&gt;0,'Stage 2'!O28/'Stage 2'!$K28,"")</f>
        <v/>
      </c>
      <c r="L32" s="230"/>
      <c r="M32" s="238" t="s">
        <v>62</v>
      </c>
      <c r="N32" s="240" t="s">
        <v>81</v>
      </c>
      <c r="O32" s="258"/>
      <c r="P32" s="49"/>
      <c r="Q32" s="49"/>
      <c r="R32" s="432" t="str">
        <f t="shared" si="0"/>
        <v>Lowland grazing</v>
      </c>
      <c r="S32" s="432"/>
      <c r="T32" s="432"/>
      <c r="U32" s="432"/>
      <c r="V32" s="432"/>
      <c r="W32" s="238" t="s">
        <v>62</v>
      </c>
      <c r="X32" s="49"/>
      <c r="Y32" s="285" t="str">
        <f>IF($W$15="Yes",IF($W32="Yes",IF($W$20="Wensum",(IF($W$21="Freely draining",IF($W$22="550-575",IF($W$23="Yes",'Data Tables'!Y6,'Data Tables'!Z6),IF($W$22="575-600",IF($W$23="Yes",'Data Tables'!Y6,'Data Tables'!Z6),IF($W$22="600-625",IF($W$23="Yes",'Data Tables'!Y6,'Data Tables'!Z6),IF($W$22="625-650",IF($W$23="Yes",'Data Tables'!Y6,'Data Tables'!Z6),IF($W$22="650-675",IF($W$23="Yes",'Data Tables'!Y6,'Data Tables'!Z6),IF($W$22="675-700",IF($W$23="Yes",'Data Tables'!Y6,'Data Tables'!Z6),IF($W$22="700-750",IF($W$23="Yes",'Data Tables'!AE6,'Data Tables'!AF6),IF($W$22="750-800",IF($W$23="Yes",'Data Tables'!AE6,'Data Tables'!AF6),IF($W$22="800-850",IF($W$23="Yes",'Data Tables'!AE6,'Data Tables'!AF6),IF($W$23="Yes",'Data Tables'!AE6,'Data Tables'!AF6)))))))))),IF($W$21="Impermeable - drained for arable",IF($W$22="550-575",IF($W$23="Yes",'Data Tables'!AA6,'Data Tables'!AB6),IF($W$22="575-600",IF($W$23="Yes",'Data Tables'!AA6,'Data Tables'!AB6),IF($W$22="600-625",IF($W$23="Yes",'Data Tables'!AA6,'Data Tables'!AB6),IF($W$22="625-650",IF($W$23="Yes",'Data Tables'!AA6,'Data Tables'!AB6),IF($W$22="650-675",IF($W$23="Yes",'Data Tables'!AA6,'Data Tables'!AB6),IF($W$22="675-700",IF($W$23="Yes",'Data Tables'!AA6,'Data Tables'!AB6),IF($W$22="700-750",IF($W$23="Yes",'Data Tables'!AG6,'Data Tables'!AH6),IF($W$22="750-800",IF($W$23="Yes",'Data Tables'!AG6,'Data Tables'!AH6),IF($W$22="800-850",IF($W$23="Yes",'Data Tables'!AG6,'Data Tables'!AH6),IF($W$23="Yes",'Data Tables'!AG6,'Data Tables'!AH6)))))))))),IF($W$22="550-575",IF($W$23="Yes",'Data Tables'!AC6,'Data Tables'!AD6),IF($W$22="575-600",IF($W$23="Yes",'Data Tables'!AC6,'Data Tables'!AD6),IF($W$22="600-625",IF($W$23="Yes",'Data Tables'!AC6,'Data Tables'!AD6),IF($W$22="625-650",IF($W$23="Yes",'Data Tables'!AC6,'Data Tables'!AD6),IF($W$22="650-675",IF($W$23="Yes",'Data Tables'!AC6,'Data Tables'!AD6),IF($W$22="675-700",IF($W$23="Yes",'Data Tables'!AC6,'Data Tables'!AD6),IF($W$22="700-750",IF($W$23="Yes",'Data Tables'!AI6,'Data Tables'!AJ6),IF($W$22="750-800",IF($W$23="Yes",'Data Tables'!AI6,'Data Tables'!AJ6),IF($W$22="800-850",IF($W$23="Yes",'Data Tables'!AI6,'Data Tables'!AJ6),IF($W$23="Yes",'Data Tables'!AI6,'Data Tables'!AJ6))))))))))))),IF($W$20="Yare",(IF($W$21="Freely draining",IF($W$22="550-575",IF($W$23="Yes",'Data Tables'!Y17,'Data Tables'!Z17),IF($W$22="575-600",IF($W$23="Yes",'Data Tables'!Y17,'Data Tables'!Z17),IF($W$22="600-625",IF($W$23="Yes",'Data Tables'!Y17,'Data Tables'!Z17),IF($W$22="625-650",IF($W$23="Yes",'Data Tables'!Y17,'Data Tables'!Z17),IF($W$22="650-675",IF($W$23="Yes",'Data Tables'!Y17,'Data Tables'!Z17),IF($W$22="675-700",IF($W$23="Yes",'Data Tables'!Y17,'Data Tables'!Z17),IF($W$22="700-750",IF($W$23="Yes",'Data Tables'!AE17,'Data Tables'!AF17),IF($W$22="750-800",IF($W$23="Yes",'Data Tables'!AE17,'Data Tables'!AF17),IF($W$22="800-850",IF($W$23="Yes",'Data Tables'!AE17,'Data Tables'!AF17),IF($W$23="Yes",'Data Tables'!AE17,'Data Tables'!AF17)))))))))),IF($W$21="Impermeable - drained for arable",IF($W$22="550-575",IF($W$23="Yes",'Data Tables'!AA17,'Data Tables'!AB17),IF($W$22="575-600",IF($W$23="Yes",'Data Tables'!AA17,'Data Tables'!AB17),IF($W$22="600-625",IF($W$23="Yes",'Data Tables'!AA17,'Data Tables'!AB17),IF($W$22="625-650",IF($W$23="Yes",'Data Tables'!AA17,'Data Tables'!AB17),IF($W$22="650-675",IF($W$23="Yes",'Data Tables'!AA17,'Data Tables'!AB17),IF($W$22="675-700",IF($W$23="Yes",'Data Tables'!AA17,'Data Tables'!AB17),IF($W$22="700-750",IF($W$23="Yes",'Data Tables'!AG17,'Data Tables'!AH17),IF($W$22="750-800",IF($W$23="Yes",'Data Tables'!AG17,'Data Tables'!AH17),IF($W$22="800-850",IF($W$23="Yes",'Data Tables'!AG17,'Data Tables'!AH17),IF($W$23="Yes",'Data Tables'!AG17,'Data Tables'!AH17)))))))))),IF($W$22="550-575",IF($W$23="Yes",'Data Tables'!AC17,'Data Tables'!AD17),IF($W$22="575-600",IF($W$23="Yes",'Data Tables'!AC17,'Data Tables'!AD17),IF($W$22="600-625",IF($W$23="Yes",'Data Tables'!AC17,'Data Tables'!AD17),IF($W$22="625-650",IF($W$23="Yes",'Data Tables'!AC17,'Data Tables'!AD17),IF($W$22="650-675",IF($W$23="Yes",'Data Tables'!AC17,'Data Tables'!AD17),IF($W$22="675-700",IF($W$23="Yes",'Data Tables'!AC17,'Data Tables'!AD17),IF($W$22="700-750",IF($W$23="Yes",'Data Tables'!AI17,'Data Tables'!AJ17),IF($W$22="750-800",IF($W$23="Yes",'Data Tables'!AI17,'Data Tables'!AJ17),IF($W$22="800-850",IF($W$23="Yes",'Data Tables'!AI17,'Data Tables'!AJ17),IF($W$23="Yes",'Data Tables'!AI17,'Data Tables'!AJ17))))))))))))),(IF($W$21="Freely draining",IF($W$22="550-575",IF($W$23="Yes",'Data Tables'!S28,'Data Tables'!T28),IF($W$22="575-600",IF($W$23="Yes",'Data Tables'!S28,'Data Tables'!T28),IF($W$22="600-625",IF($W$23="Yes",'Data Tables'!Y28,'Data Tables'!Z28),IF($W$22="625-650",IF($W$23="Yes",'Data Tables'!Y28,'Data Tables'!Z28),IF($W$22="650-675",IF($W$23="Yes",'Data Tables'!Y28,'Data Tables'!Z28),IF($W$22="675-700",IF($W$23="Yes",'Data Tables'!Y28,'Data Tables'!Z28),IF($W$22="700-750",IF($W$23="Yes",'Data Tables'!AE28,'Data Tables'!AF28),IF($W$22="750-800",IF($W$23="Yes",'Data Tables'!AE28,'Data Tables'!AF28),IF($W$22="800-850",IF($W$23="Yes",'Data Tables'!AE28,'Data Tables'!AF28),IF($W$23="Yes",'Data Tables'!AE28,'Data Tables'!AF28)))))))))),IF($W$21="Impermeable - drained for arable",IF($W$22="550-575",IF($W$23="Yes",'Data Tables'!U28,'Data Tables'!V28),IF($W$22="575-600",IF($W$23="Yes",'Data Tables'!U28,'Data Tables'!V28),IF($W$22="600-625",IF($W$23="Yes",'Data Tables'!AA28,'Data Tables'!AB28),IF($W$22="625-650",IF($W$23="Yes",'Data Tables'!AA28,'Data Tables'!AB28),IF($W$22="650-675",IF($W$23="Yes",'Data Tables'!AA28,'Data Tables'!AB28),IF($W$22="675-700",IF($W$23="Yes",'Data Tables'!AA28,'Data Tables'!AB28),IF($W$22="700-750",IF($W$23="Yes",'Data Tables'!AG28,'Data Tables'!AH28),IF($W$22="750-800",IF($W$23="Yes",'Data Tables'!AG28,'Data Tables'!AH28),IF($W$22="800-850",IF($W$23="Yes",'Data Tables'!AG28,'Data Tables'!AH28),IF($W$23="Yes",'Data Tables'!AG28,'Data Tables'!AH28)))))))))),IF($W$22="550-575",IF($W$23="Yes",'Data Tables'!W28,'Data Tables'!X28),IF($W$22="575-600",IF($W$23="Yes",'Data Tables'!W28,'Data Tables'!X28),IF($W$22="600-625",IF($W$23="Yes",'Data Tables'!AC28,'Data Tables'!AD28),IF($W$22="625-650",IF($W$23="Yes",'Data Tables'!AC28,'Data Tables'!AD28),IF($W$22="650-675",IF($W$23="Yes",'Data Tables'!AC28,'Data Tables'!AD28),IF($W$22="675-700",IF($W$23="Yes",'Data Tables'!AC28,'Data Tables'!AD28),IF($W$22="700-750",IF($W$23="Yes",'Data Tables'!AI28,'Data Tables'!AJ28),IF($W$22="750-800",IF($W$23="Yes",'Data Tables'!AI28,'Data Tables'!AJ28),IF($W$22="800-850",IF($W$23="Yes",'Data Tables'!AI28,'Data Tables'!AJ28),IF($W$23="Yes",'Data Tables'!AI28,'Data Tables'!AJ28))))))))))))))),0),"")</f>
        <v/>
      </c>
      <c r="Z32" s="330"/>
      <c r="AA32" s="313"/>
    </row>
    <row r="33" spans="2:27" ht="15.95" customHeight="1" x14ac:dyDescent="0.25">
      <c r="B33" s="46"/>
      <c r="C33" s="227"/>
      <c r="D33" s="227"/>
      <c r="E33" s="432" t="str">
        <f>'Stage 2'!F29</f>
        <v>Mixed</v>
      </c>
      <c r="F33" s="432"/>
      <c r="G33" s="432"/>
      <c r="H33" s="432"/>
      <c r="I33" s="432"/>
      <c r="J33" s="49"/>
      <c r="K33" s="315" t="str">
        <f>IF('Stage 2'!$K29&gt;0,'Stage 2'!O29/'Stage 2'!$K29,"")</f>
        <v/>
      </c>
      <c r="L33" s="230"/>
      <c r="M33" s="238" t="s">
        <v>62</v>
      </c>
      <c r="N33" s="240" t="s">
        <v>81</v>
      </c>
      <c r="O33" s="258"/>
      <c r="P33" s="49"/>
      <c r="Q33" s="49"/>
      <c r="R33" s="432" t="str">
        <f t="shared" si="0"/>
        <v>Mixed</v>
      </c>
      <c r="S33" s="432"/>
      <c r="T33" s="432"/>
      <c r="U33" s="432"/>
      <c r="V33" s="432"/>
      <c r="W33" s="238" t="s">
        <v>62</v>
      </c>
      <c r="X33" s="49"/>
      <c r="Y33" s="285" t="str">
        <f>IF($W$15="Yes",IF($W33="Yes",IF($W$20="Wensum",(IF($W$21="Freely draining",IF($W$22="550-575",IF($W$23="Yes",'Data Tables'!Y7,'Data Tables'!Z7),IF($W$22="575-600",IF($W$23="Yes",'Data Tables'!Y7,'Data Tables'!Z7),IF($W$22="600-625",IF($W$23="Yes",'Data Tables'!Y7,'Data Tables'!Z7),IF($W$22="625-650",IF($W$23="Yes",'Data Tables'!Y7,'Data Tables'!Z7),IF($W$22="650-675",IF($W$23="Yes",'Data Tables'!Y7,'Data Tables'!Z7),IF($W$22="675-700",IF($W$23="Yes",'Data Tables'!Y7,'Data Tables'!Z7),IF($W$22="700-750",IF($W$23="Yes",'Data Tables'!AE7,'Data Tables'!AF7),IF($W$22="750-800",IF($W$23="Yes",'Data Tables'!AE7,'Data Tables'!AF7),IF($W$22="800-850",IF($W$23="Yes",'Data Tables'!AE7,'Data Tables'!AF7),IF($W$23="Yes",'Data Tables'!AE7,'Data Tables'!AF7)))))))))),IF($W$21="Impermeable - drained for arable",IF($W$22="550-575",IF($W$23="Yes",'Data Tables'!AA7,'Data Tables'!AB7),IF($W$22="575-600",IF($W$23="Yes",'Data Tables'!AA7,'Data Tables'!AB7),IF($W$22="600-625",IF($W$23="Yes",'Data Tables'!AA7,'Data Tables'!AB7),IF($W$22="625-650",IF($W$23="Yes",'Data Tables'!AA7,'Data Tables'!AB7),IF($W$22="650-675",IF($W$23="Yes",'Data Tables'!AA7,'Data Tables'!AB7),IF($W$22="675-700",IF($W$23="Yes",'Data Tables'!AA7,'Data Tables'!AB7),IF($W$22="700-750",IF($W$23="Yes",'Data Tables'!AG7,'Data Tables'!AH7),IF($W$22="750-800",IF($W$23="Yes",'Data Tables'!AG7,'Data Tables'!AH7),IF($W$22="800-850",IF($W$23="Yes",'Data Tables'!AG7,'Data Tables'!AH7),IF($W$23="Yes",'Data Tables'!AG7,'Data Tables'!AH7)))))))))),IF($W$22="550-575",IF($W$23="Yes",'Data Tables'!AC7,'Data Tables'!AD7),IF($W$22="575-600",IF($W$23="Yes",'Data Tables'!AC7,'Data Tables'!AD7),IF($W$22="600-625",IF($W$23="Yes",'Data Tables'!AC7,'Data Tables'!AD7),IF($W$22="625-650",IF($W$23="Yes",'Data Tables'!AC7,'Data Tables'!AD7),IF($W$22="650-675",IF($W$23="Yes",'Data Tables'!AC7,'Data Tables'!AD7),IF($W$22="675-700",IF($W$23="Yes",'Data Tables'!AC7,'Data Tables'!AD7),IF($W$22="700-750",IF($W$23="Yes",'Data Tables'!AI7,'Data Tables'!AJ7),IF($W$22="750-800",IF($W$23="Yes",'Data Tables'!AI7,'Data Tables'!AJ7),IF($W$22="800-850",IF($W$23="Yes",'Data Tables'!AI7,'Data Tables'!AJ7),IF($W$23="Yes",'Data Tables'!AI7,'Data Tables'!AJ7))))))))))))),IF($W$20="Yare",(IF($W$21="Freely draining",IF($W$22="550-575",IF($W$23="Yes",'Data Tables'!Y18,'Data Tables'!Z18),IF($W$22="575-600",IF($W$23="Yes",'Data Tables'!Y18,'Data Tables'!Z18),IF($W$22="600-625",IF($W$23="Yes",'Data Tables'!Y18,'Data Tables'!Z18),IF($W$22="625-650",IF($W$23="Yes",'Data Tables'!Y18,'Data Tables'!Z18),IF($W$22="650-675",IF($W$23="Yes",'Data Tables'!Y18,'Data Tables'!Z18),IF($W$22="675-700",IF($W$23="Yes",'Data Tables'!Y18,'Data Tables'!Z18),IF($W$22="700-750",IF($W$23="Yes",'Data Tables'!AE18,'Data Tables'!AF18),IF($W$22="750-800",IF($W$23="Yes",'Data Tables'!AE18,'Data Tables'!AF18),IF($W$22="800-850",IF($W$23="Yes",'Data Tables'!AE18,'Data Tables'!AF18),IF($W$23="Yes",'Data Tables'!AE18,'Data Tables'!AF18)))))))))),IF($W$21="Impermeable - drained for arable",IF($W$22="550-575",IF($W$23="Yes",'Data Tables'!AA18,'Data Tables'!AB18),IF($W$22="575-600",IF($W$23="Yes",'Data Tables'!AA18,'Data Tables'!AB18),IF($W$22="600-625",IF($W$23="Yes",'Data Tables'!AA18,'Data Tables'!AB18),IF($W$22="625-650",IF($W$23="Yes",'Data Tables'!AA18,'Data Tables'!AB18),IF($W$22="650-675",IF($W$23="Yes",'Data Tables'!AA18,'Data Tables'!AB18),IF($W$22="675-700",IF($W$23="Yes",'Data Tables'!AA18,'Data Tables'!AB18),IF($W$22="700-750",IF($W$23="Yes",'Data Tables'!AG18,'Data Tables'!AH18),IF($W$22="750-800",IF($W$23="Yes",'Data Tables'!AG18,'Data Tables'!AH18),IF($W$22="800-850",IF($W$23="Yes",'Data Tables'!AG18,'Data Tables'!AH18),IF($W$23="Yes",'Data Tables'!AG18,'Data Tables'!AH18)))))))))),IF($W$22="550-575",IF($W$23="Yes",'Data Tables'!AC18,'Data Tables'!AD18),IF($W$22="575-600",IF($W$23="Yes",'Data Tables'!AC18,'Data Tables'!AD18),IF($W$22="600-625",IF($W$23="Yes",'Data Tables'!AC18,'Data Tables'!AD18),IF($W$22="625-650",IF($W$23="Yes",'Data Tables'!AC18,'Data Tables'!AD18),IF($W$22="650-675",IF($W$23="Yes",'Data Tables'!AC18,'Data Tables'!AD18),IF($W$22="675-700",IF($W$23="Yes",'Data Tables'!AC18,'Data Tables'!AD18),IF($W$22="700-750",IF($W$23="Yes",'Data Tables'!AI18,'Data Tables'!AJ18),IF($W$22="750-800",IF($W$23="Yes",'Data Tables'!AI18,'Data Tables'!AJ18),IF($W$22="800-850",IF($W$23="Yes",'Data Tables'!AI18,'Data Tables'!AJ18),IF($W$23="Yes",'Data Tables'!AI18,'Data Tables'!AJ18))))))))))))),(IF($W$21="Freely draining",IF($W$22="550-575",IF($W$23="Yes",'Data Tables'!S29,'Data Tables'!T29),IF($W$22="575-600",IF($W$23="Yes",'Data Tables'!S29,'Data Tables'!T29),IF($W$22="600-625",IF($W$23="Yes",'Data Tables'!Y29,'Data Tables'!Z29),IF($W$22="625-650",IF($W$23="Yes",'Data Tables'!Y29,'Data Tables'!Z29),IF($W$22="650-675",IF($W$23="Yes",'Data Tables'!Y29,'Data Tables'!Z29),IF($W$22="675-700",IF($W$23="Yes",'Data Tables'!Y29,'Data Tables'!Z29),IF($W$22="700-750",IF($W$23="Yes",'Data Tables'!AE29,'Data Tables'!AF29),IF($W$22="750-800",IF($W$23="Yes",'Data Tables'!AE29,'Data Tables'!AF29),IF($W$22="800-850",IF($W$23="Yes",'Data Tables'!AE29,'Data Tables'!AF29),IF($W$23="Yes",'Data Tables'!AE29,'Data Tables'!AF29)))))))))),IF($W$21="Impermeable - drained for arable",IF($W$22="550-575",IF($W$23="Yes",'Data Tables'!U29,'Data Tables'!V29),IF($W$22="575-600",IF($W$23="Yes",'Data Tables'!U29,'Data Tables'!V29),IF($W$22="600-625",IF($W$23="Yes",'Data Tables'!AA29,'Data Tables'!AB29),IF($W$22="625-650",IF($W$23="Yes",'Data Tables'!AA29,'Data Tables'!AB29),IF($W$22="650-675",IF($W$23="Yes",'Data Tables'!AA29,'Data Tables'!AB29),IF($W$22="675-700",IF($W$23="Yes",'Data Tables'!AA29,'Data Tables'!AB29),IF($W$22="700-750",IF($W$23="Yes",'Data Tables'!AG29,'Data Tables'!AH29),IF($W$22="750-800",IF($W$23="Yes",'Data Tables'!AG29,'Data Tables'!AH29),IF($W$22="800-850",IF($W$23="Yes",'Data Tables'!AG29,'Data Tables'!AH29),IF($W$23="Yes",'Data Tables'!AG29,'Data Tables'!AH29)))))))))),IF($W$22="550-575",IF($W$23="Yes",'Data Tables'!W29,'Data Tables'!X29),IF($W$22="575-600",IF($W$23="Yes",'Data Tables'!W29,'Data Tables'!X29),IF($W$22="600-625",IF($W$23="Yes",'Data Tables'!AC29,'Data Tables'!AD29),IF($W$22="625-650",IF($W$23="Yes",'Data Tables'!AC29,'Data Tables'!AD29),IF($W$22="650-675",IF($W$23="Yes",'Data Tables'!AC29,'Data Tables'!AD29),IF($W$22="675-700",IF($W$23="Yes",'Data Tables'!AC29,'Data Tables'!AD29),IF($W$22="700-750",IF($W$23="Yes",'Data Tables'!AI29,'Data Tables'!AJ29),IF($W$22="750-800",IF($W$23="Yes",'Data Tables'!AI29,'Data Tables'!AJ29),IF($W$22="800-850",IF($W$23="Yes",'Data Tables'!AI29,'Data Tables'!AJ29),IF($W$23="Yes",'Data Tables'!AI29,'Data Tables'!AJ29))))))))))))))),0),"")</f>
        <v/>
      </c>
      <c r="Z33" s="330"/>
      <c r="AA33" s="313"/>
    </row>
    <row r="34" spans="2:27" ht="15.95" customHeight="1" x14ac:dyDescent="0.25">
      <c r="B34" s="46"/>
      <c r="C34" s="227"/>
      <c r="D34" s="227"/>
      <c r="E34" s="432" t="str">
        <f>'Stage 2'!F30</f>
        <v>Poultry</v>
      </c>
      <c r="F34" s="432"/>
      <c r="G34" s="432"/>
      <c r="H34" s="432"/>
      <c r="I34" s="432"/>
      <c r="J34" s="49"/>
      <c r="K34" s="315" t="str">
        <f>IF('Stage 2'!$K30&gt;0,'Stage 2'!O30/'Stage 2'!$K30,"")</f>
        <v/>
      </c>
      <c r="L34" s="230"/>
      <c r="M34" s="238" t="s">
        <v>62</v>
      </c>
      <c r="N34" s="240" t="s">
        <v>81</v>
      </c>
      <c r="O34" s="258"/>
      <c r="P34" s="49"/>
      <c r="Q34" s="49"/>
      <c r="R34" s="432" t="str">
        <f t="shared" si="0"/>
        <v>Poultry</v>
      </c>
      <c r="S34" s="432"/>
      <c r="T34" s="432"/>
      <c r="U34" s="432"/>
      <c r="V34" s="432"/>
      <c r="W34" s="238" t="s">
        <v>62</v>
      </c>
      <c r="X34" s="49"/>
      <c r="Y34" s="285" t="str">
        <f>IF($W$15="Yes",IF($W34="Yes",IF($W$20="Wensum",(IF($W$21="Freely draining",IF($W$22="550-575",IF($W$23="Yes",'Data Tables'!Y8,'Data Tables'!Z8),IF($W$22="575-600",IF($W$23="Yes",'Data Tables'!Y8,'Data Tables'!Z8),IF($W$22="600-625",IF($W$23="Yes",'Data Tables'!Y8,'Data Tables'!Z8),IF($W$22="625-650",IF($W$23="Yes",'Data Tables'!Y8,'Data Tables'!Z8),IF($W$22="650-675",IF($W$23="Yes",'Data Tables'!Y8,'Data Tables'!Z8),IF($W$22="675-700",IF($W$23="Yes",'Data Tables'!Y8,'Data Tables'!Z8),IF($W$22="700-750",IF($W$23="Yes",'Data Tables'!AE8,'Data Tables'!AF8),IF($W$22="750-800",IF($W$23="Yes",'Data Tables'!AE8,'Data Tables'!AF8),IF($W$22="800-850",IF($W$23="Yes",'Data Tables'!AE8,'Data Tables'!AF8),IF($W$23="Yes",'Data Tables'!AE8,'Data Tables'!AF8)))))))))),IF($W$21="Impermeable - drained for arable",IF($W$22="550-575",IF($W$23="Yes",'Data Tables'!AA8,'Data Tables'!AB8),IF($W$22="575-600",IF($W$23="Yes",'Data Tables'!AA8,'Data Tables'!AB8),IF($W$22="600-625",IF($W$23="Yes",'Data Tables'!AA8,'Data Tables'!AB8),IF($W$22="625-650",IF($W$23="Yes",'Data Tables'!AA8,'Data Tables'!AB8),IF($W$22="650-675",IF($W$23="Yes",'Data Tables'!AA8,'Data Tables'!AB8),IF($W$22="675-700",IF($W$23="Yes",'Data Tables'!AA8,'Data Tables'!AB8),IF($W$22="700-750",IF($W$23="Yes",'Data Tables'!AG8,'Data Tables'!AH8),IF($W$22="750-800",IF($W$23="Yes",'Data Tables'!AG8,'Data Tables'!AH8),IF($W$22="800-850",IF($W$23="Yes",'Data Tables'!AG8,'Data Tables'!AH8),IF($W$23="Yes",'Data Tables'!AG8,'Data Tables'!AH8)))))))))),IF($W$22="550-575",IF($W$23="Yes",'Data Tables'!AC8,'Data Tables'!AD8),IF($W$22="575-600",IF($W$23="Yes",'Data Tables'!AC8,'Data Tables'!AD8),IF($W$22="600-625",IF($W$23="Yes",'Data Tables'!AC8,'Data Tables'!AD8),IF($W$22="625-650",IF($W$23="Yes",'Data Tables'!AC8,'Data Tables'!AD8),IF($W$22="650-675",IF($W$23="Yes",'Data Tables'!AC8,'Data Tables'!AD8),IF($W$22="675-700",IF($W$23="Yes",'Data Tables'!AC8,'Data Tables'!AD8),IF($W$22="700-750",IF($W$23="Yes",'Data Tables'!AI8,'Data Tables'!AJ8),IF($W$22="750-800",IF($W$23="Yes",'Data Tables'!AI8,'Data Tables'!AJ8),IF($W$22="800-850",IF($W$23="Yes",'Data Tables'!AI8,'Data Tables'!AJ8),IF($W$23="Yes",'Data Tables'!AI8,'Data Tables'!AJ8))))))))))))),IF($W$20="Yare",(IF($W$21="Freely draining",IF($W$22="550-575",IF($W$23="Yes",'Data Tables'!Y19,'Data Tables'!Z19),IF($W$22="575-600",IF($W$23="Yes",'Data Tables'!Y19,'Data Tables'!Z19),IF($W$22="600-625",IF($W$23="Yes",'Data Tables'!Y19,'Data Tables'!Z19),IF($W$22="625-650",IF($W$23="Yes",'Data Tables'!Y19,'Data Tables'!Z19),IF($W$22="650-675",IF($W$23="Yes",'Data Tables'!Y19,'Data Tables'!Z19),IF($W$22="675-700",IF($W$23="Yes",'Data Tables'!Y19,'Data Tables'!Z19),IF($W$22="700-750",IF($W$23="Yes",'Data Tables'!AE19,'Data Tables'!AF19),IF($W$22="750-800",IF($W$23="Yes",'Data Tables'!AE19,'Data Tables'!AF19),IF($W$22="800-850",IF($W$23="Yes",'Data Tables'!AE19,'Data Tables'!AF19),IF($W$23="Yes",'Data Tables'!AE19,'Data Tables'!AF19)))))))))),IF($W$21="Impermeable - drained for arable",IF($W$22="550-575",IF($W$23="Yes",'Data Tables'!AA19,'Data Tables'!AB19),IF($W$22="575-600",IF($W$23="Yes",'Data Tables'!AA19,'Data Tables'!AB19),IF($W$22="600-625",IF($W$23="Yes",'Data Tables'!AA19,'Data Tables'!AB19),IF($W$22="625-650",IF($W$23="Yes",'Data Tables'!AA19,'Data Tables'!AB19),IF($W$22="650-675",IF($W$23="Yes",'Data Tables'!AA19,'Data Tables'!AB19),IF($W$22="675-700",IF($W$23="Yes",'Data Tables'!AA19,'Data Tables'!AB19),IF($W$22="700-750",IF($W$23="Yes",'Data Tables'!AG19,'Data Tables'!AH19),IF($W$22="750-800",IF($W$23="Yes",'Data Tables'!AG19,'Data Tables'!AH19),IF($W$22="800-850",IF($W$23="Yes",'Data Tables'!AG19,'Data Tables'!AH19),IF($W$23="Yes",'Data Tables'!AG19,'Data Tables'!AH19)))))))))),IF($W$22="550-575",IF($W$23="Yes",'Data Tables'!AC19,'Data Tables'!AD19),IF($W$22="575-600",IF($W$23="Yes",'Data Tables'!AC19,'Data Tables'!AD19),IF($W$22="600-625",IF($W$23="Yes",'Data Tables'!AC19,'Data Tables'!AD19),IF($W$22="625-650",IF($W$23="Yes",'Data Tables'!AC19,'Data Tables'!AD19),IF($W$22="650-675",IF($W$23="Yes",'Data Tables'!AC19,'Data Tables'!AD19),IF($W$22="675-700",IF($W$23="Yes",'Data Tables'!AC19,'Data Tables'!AD19),IF($W$22="700-750",IF($W$23="Yes",'Data Tables'!AI19,'Data Tables'!AJ19),IF($W$22="750-800",IF($W$23="Yes",'Data Tables'!AI19,'Data Tables'!AJ19),IF($W$22="800-850",IF($W$23="Yes",'Data Tables'!AI19,'Data Tables'!AJ19),IF($W$23="Yes",'Data Tables'!AI19,'Data Tables'!AJ19))))))))))))),(IF($W$21="Freely draining",IF($W$22="550-575",IF($W$23="Yes",'Data Tables'!S30,'Data Tables'!T30),IF($W$22="575-600",IF($W$23="Yes",'Data Tables'!S30,'Data Tables'!T30),IF($W$22="600-625",IF($W$23="Yes",'Data Tables'!Y30,'Data Tables'!Z30),IF($W$22="625-650",IF($W$23="Yes",'Data Tables'!Y30,'Data Tables'!Z30),IF($W$22="650-675",IF($W$23="Yes",'Data Tables'!Y30,'Data Tables'!Z30),IF($W$22="675-700",IF($W$23="Yes",'Data Tables'!Y30,'Data Tables'!Z30),IF($W$22="700-750",IF($W$23="Yes",'Data Tables'!AE30,'Data Tables'!AF30),IF($W$22="750-800",IF($W$23="Yes",'Data Tables'!AE30,'Data Tables'!AF30),IF($W$22="800-850",IF($W$23="Yes",'Data Tables'!AE30,'Data Tables'!AF30),IF($W$23="Yes",'Data Tables'!AE30,'Data Tables'!AF30)))))))))),IF($W$21="Impermeable - drained for arable",IF($W$22="550-575",IF($W$23="Yes",'Data Tables'!U30,'Data Tables'!V30),IF($W$22="575-600",IF($W$23="Yes",'Data Tables'!U30,'Data Tables'!V30),IF($W$22="600-625",IF($W$23="Yes",'Data Tables'!AA30,'Data Tables'!AB30),IF($W$22="625-650",IF($W$23="Yes",'Data Tables'!AA30,'Data Tables'!AB30),IF($W$22="650-675",IF($W$23="Yes",'Data Tables'!AA30,'Data Tables'!AB30),IF($W$22="675-700",IF($W$23="Yes",'Data Tables'!AA30,'Data Tables'!AB30),IF($W$22="700-750",IF($W$23="Yes",'Data Tables'!AG30,'Data Tables'!AH30),IF($W$22="750-800",IF($W$23="Yes",'Data Tables'!AG30,'Data Tables'!AH30),IF($W$22="800-850",IF($W$23="Yes",'Data Tables'!AG30,'Data Tables'!AH30),IF($W$23="Yes",'Data Tables'!AG30,'Data Tables'!AH30)))))))))),IF($W$22="550-575",IF($W$23="Yes",'Data Tables'!W30,'Data Tables'!X30),IF($W$22="575-600",IF($W$23="Yes",'Data Tables'!W30,'Data Tables'!X30),IF($W$22="600-625",IF($W$23="Yes",'Data Tables'!AC30,'Data Tables'!AD30),IF($W$22="625-650",IF($W$23="Yes",'Data Tables'!AC30,'Data Tables'!AD30),IF($W$22="650-675",IF($W$23="Yes",'Data Tables'!AC30,'Data Tables'!AD30),IF($W$22="675-700",IF($W$23="Yes",'Data Tables'!AC30,'Data Tables'!AD30),IF($W$22="700-750",IF($W$23="Yes",'Data Tables'!AI30,'Data Tables'!AJ30),IF($W$22="750-800",IF($W$23="Yes",'Data Tables'!AI30,'Data Tables'!AJ30),IF($W$22="800-850",IF($W$23="Yes",'Data Tables'!AI30,'Data Tables'!AJ30),IF($W$23="Yes",'Data Tables'!AI30,'Data Tables'!AJ30))))))))))))))),0),"")</f>
        <v/>
      </c>
      <c r="Z34" s="330"/>
      <c r="AA34" s="313"/>
    </row>
    <row r="35" spans="2:27" ht="15.95" customHeight="1" x14ac:dyDescent="0.25">
      <c r="B35" s="46"/>
      <c r="C35" s="227"/>
      <c r="D35" s="227"/>
      <c r="E35" s="432" t="str">
        <f>'Stage 2'!F31</f>
        <v>Pigs</v>
      </c>
      <c r="F35" s="432"/>
      <c r="G35" s="432"/>
      <c r="H35" s="432"/>
      <c r="I35" s="432"/>
      <c r="J35" s="49"/>
      <c r="K35" s="315" t="str">
        <f>IF('Stage 2'!$K31&gt;0,'Stage 2'!O31/'Stage 2'!$K31,"")</f>
        <v/>
      </c>
      <c r="L35" s="230"/>
      <c r="M35" s="238" t="s">
        <v>62</v>
      </c>
      <c r="N35" s="240" t="s">
        <v>81</v>
      </c>
      <c r="O35" s="258"/>
      <c r="P35" s="49"/>
      <c r="Q35" s="49"/>
      <c r="R35" s="432" t="str">
        <f t="shared" si="0"/>
        <v>Pigs</v>
      </c>
      <c r="S35" s="432"/>
      <c r="T35" s="432"/>
      <c r="U35" s="432"/>
      <c r="V35" s="432"/>
      <c r="W35" s="238" t="s">
        <v>62</v>
      </c>
      <c r="X35" s="49"/>
      <c r="Y35" s="285" t="str">
        <f>IF($W$15="Yes",IF($W35="Yes",IF($W$20="Wensum",(IF($W$21="Freely draining",IF($W$22="550-575",IF($W$23="Yes",'Data Tables'!Y9,'Data Tables'!Z9),IF($W$22="575-600",IF($W$23="Yes",'Data Tables'!Y9,'Data Tables'!Z9),IF($W$22="600-625",IF($W$23="Yes",'Data Tables'!Y9,'Data Tables'!Z9),IF($W$22="625-650",IF($W$23="Yes",'Data Tables'!Y9,'Data Tables'!Z9),IF($W$22="650-675",IF($W$23="Yes",'Data Tables'!Y9,'Data Tables'!Z9),IF($W$22="675-700",IF($W$23="Yes",'Data Tables'!Y9,'Data Tables'!Z9),IF($W$22="700-750",IF($W$23="Yes",'Data Tables'!AE9,'Data Tables'!AF9),IF($W$22="750-800",IF($W$23="Yes",'Data Tables'!AE9,'Data Tables'!AF9),IF($W$22="800-850",IF($W$23="Yes",'Data Tables'!AE9,'Data Tables'!AF9),IF($W$23="Yes",'Data Tables'!AE9,'Data Tables'!AF9)))))))))),IF($W$21="Impermeable - drained for arable",IF($W$22="550-575",IF($W$23="Yes",'Data Tables'!AA9,'Data Tables'!AB9),IF($W$22="575-600",IF($W$23="Yes",'Data Tables'!AA9,'Data Tables'!AB9),IF($W$22="600-625",IF($W$23="Yes",'Data Tables'!AA9,'Data Tables'!AB9),IF($W$22="625-650",IF($W$23="Yes",'Data Tables'!AA9,'Data Tables'!AB9),IF($W$22="650-675",IF($W$23="Yes",'Data Tables'!AA9,'Data Tables'!AB9),IF($W$22="675-700",IF($W$23="Yes",'Data Tables'!AA9,'Data Tables'!AB9),IF($W$22="700-750",IF($W$23="Yes",'Data Tables'!AG9,'Data Tables'!AH9),IF($W$22="750-800",IF($W$23="Yes",'Data Tables'!AG9,'Data Tables'!AH9),IF($W$22="800-850",IF($W$23="Yes",'Data Tables'!AG9,'Data Tables'!AH9),IF($W$23="Yes",'Data Tables'!AG9,'Data Tables'!AH9)))))))))),IF($W$22="550-575",IF($W$23="Yes",'Data Tables'!AC9,'Data Tables'!AD9),IF($W$22="575-600",IF($W$23="Yes",'Data Tables'!AC9,'Data Tables'!AD9),IF($W$22="600-625",IF($W$23="Yes",'Data Tables'!AC9,'Data Tables'!AD9),IF($W$22="625-650",IF($W$23="Yes",'Data Tables'!AC9,'Data Tables'!AD9),IF($W$22="650-675",IF($W$23="Yes",'Data Tables'!AC9,'Data Tables'!AD9),IF($W$22="675-700",IF($W$23="Yes",'Data Tables'!AC9,'Data Tables'!AD9),IF($W$22="700-750",IF($W$23="Yes",'Data Tables'!AI9,'Data Tables'!AJ9),IF($W$22="750-800",IF($W$23="Yes",'Data Tables'!AI9,'Data Tables'!AJ9),IF($W$22="800-850",IF($W$23="Yes",'Data Tables'!AI9,'Data Tables'!AJ9),IF($W$23="Yes",'Data Tables'!AI9,'Data Tables'!AJ9))))))))))))),IF($W$20="Yare",(IF($W$21="Freely draining",IF($W$22="550-575",IF($W$23="Yes",'Data Tables'!Y20,'Data Tables'!Z20),IF($W$22="575-600",IF($W$23="Yes",'Data Tables'!Y20,'Data Tables'!Z20),IF($W$22="600-625",IF($W$23="Yes",'Data Tables'!Y20,'Data Tables'!Z20),IF($W$22="625-650",IF($W$23="Yes",'Data Tables'!Y20,'Data Tables'!Z20),IF($W$22="650-675",IF($W$23="Yes",'Data Tables'!Y20,'Data Tables'!Z20),IF($W$22="675-700",IF($W$23="Yes",'Data Tables'!Y20,'Data Tables'!Z20),IF($W$22="700-750",IF($W$23="Yes",'Data Tables'!AE20,'Data Tables'!AF20),IF($W$22="750-800",IF($W$23="Yes",'Data Tables'!AE20,'Data Tables'!AF20),IF($W$22="800-850",IF($W$23="Yes",'Data Tables'!AE20,'Data Tables'!AF20),IF($W$23="Yes",'Data Tables'!AE20,'Data Tables'!AF20)))))))))),IF($W$21="Impermeable - drained for arable",IF($W$22="550-575",IF($W$23="Yes",'Data Tables'!AA20,'Data Tables'!AB20),IF($W$22="575-600",IF($W$23="Yes",'Data Tables'!AA20,'Data Tables'!AB20),IF($W$22="600-625",IF($W$23="Yes",'Data Tables'!AA20,'Data Tables'!AB20),IF($W$22="625-650",IF($W$23="Yes",'Data Tables'!AA20,'Data Tables'!AB20),IF($W$22="650-675",IF($W$23="Yes",'Data Tables'!AA20,'Data Tables'!AB20),IF($W$22="675-700",IF($W$23="Yes",'Data Tables'!AA20,'Data Tables'!AB20),IF($W$22="700-750",IF($W$23="Yes",'Data Tables'!AG20,'Data Tables'!AH20),IF($W$22="750-800",IF($W$23="Yes",'Data Tables'!AG20,'Data Tables'!AH20),IF($W$22="800-850",IF($W$23="Yes",'Data Tables'!AG20,'Data Tables'!AH20),IF($W$23="Yes",'Data Tables'!AG20,'Data Tables'!AH20)))))))))),IF($W$22="550-575",IF($W$23="Yes",'Data Tables'!AC20,'Data Tables'!AD20),IF($W$22="575-600",IF($W$23="Yes",'Data Tables'!AC20,'Data Tables'!AD20),IF($W$22="600-625",IF($W$23="Yes",'Data Tables'!AC20,'Data Tables'!AD20),IF($W$22="625-650",IF($W$23="Yes",'Data Tables'!AC20,'Data Tables'!AD20),IF($W$22="650-675",IF($W$23="Yes",'Data Tables'!AC20,'Data Tables'!AD20),IF($W$22="675-700",IF($W$23="Yes",'Data Tables'!AC20,'Data Tables'!AD20),IF($W$22="700-750",IF($W$23="Yes",'Data Tables'!AI20,'Data Tables'!AJ20),IF($W$22="750-800",IF($W$23="Yes",'Data Tables'!AI20,'Data Tables'!AJ20),IF($W$22="800-850",IF($W$23="Yes",'Data Tables'!AI20,'Data Tables'!AJ20),IF($W$23="Yes",'Data Tables'!AI20,'Data Tables'!AJ20))))))))))))),(IF($W$21="Freely draining",IF($W$22="550-575",IF($W$23="Yes",'Data Tables'!S31,'Data Tables'!T31),IF($W$22="575-600",IF($W$23="Yes",'Data Tables'!S31,'Data Tables'!T31),IF($W$22="600-625",IF($W$23="Yes",'Data Tables'!Y31,'Data Tables'!Z31),IF($W$22="625-650",IF($W$23="Yes",'Data Tables'!Y31,'Data Tables'!Z31),IF($W$22="650-675",IF($W$23="Yes",'Data Tables'!Y31,'Data Tables'!Z31),IF($W$22="675-700",IF($W$23="Yes",'Data Tables'!Y31,'Data Tables'!Z31),IF($W$22="700-750",IF($W$23="Yes",'Data Tables'!AE31,'Data Tables'!AF31),IF($W$22="750-800",IF($W$23="Yes",'Data Tables'!AE31,'Data Tables'!AF31),IF($W$22="800-850",IF($W$23="Yes",'Data Tables'!AE31,'Data Tables'!AF31),IF($W$23="Yes",'Data Tables'!AE31,'Data Tables'!AF31)))))))))),IF($W$21="Impermeable - drained for arable",IF($W$22="550-575",IF($W$23="Yes",'Data Tables'!U31,'Data Tables'!V31),IF($W$22="575-600",IF($W$23="Yes",'Data Tables'!U31,'Data Tables'!V31),IF($W$22="600-625",IF($W$23="Yes",'Data Tables'!AA31,'Data Tables'!AB31),IF($W$22="625-650",IF($W$23="Yes",'Data Tables'!AA31,'Data Tables'!AB31),IF($W$22="650-675",IF($W$23="Yes",'Data Tables'!AA31,'Data Tables'!AB31),IF($W$22="675-700",IF($W$23="Yes",'Data Tables'!AA31,'Data Tables'!AB31),IF($W$22="700-750",IF($W$23="Yes",'Data Tables'!AG31,'Data Tables'!AH31),IF($W$22="750-800",IF($W$23="Yes",'Data Tables'!AG31,'Data Tables'!AH31),IF($W$22="800-850",IF($W$23="Yes",'Data Tables'!AG31,'Data Tables'!AH31),IF($W$23="Yes",'Data Tables'!AG31,'Data Tables'!AH31)))))))))),IF($W$22="550-575",IF($W$23="Yes",'Data Tables'!W31,'Data Tables'!X31),IF($W$22="575-600",IF($W$23="Yes",'Data Tables'!W31,'Data Tables'!X31),IF($W$22="600-625",IF($W$23="Yes",'Data Tables'!AC31,'Data Tables'!AD31),IF($W$22="625-650",IF($W$23="Yes",'Data Tables'!AC31,'Data Tables'!AD31),IF($W$22="650-675",IF($W$23="Yes",'Data Tables'!AC31,'Data Tables'!AD31),IF($W$22="675-700",IF($W$23="Yes",'Data Tables'!AC31,'Data Tables'!AD31),IF($W$22="700-750",IF($W$23="Yes",'Data Tables'!AI31,'Data Tables'!AJ31),IF($W$22="750-800",IF($W$23="Yes",'Data Tables'!AI31,'Data Tables'!AJ31),IF($W$22="800-850",IF($W$23="Yes",'Data Tables'!AI31,'Data Tables'!AJ31),IF($W$23="Yes",'Data Tables'!AI31,'Data Tables'!AJ31))))))))))))))),0),"")</f>
        <v/>
      </c>
      <c r="Z35" s="330"/>
      <c r="AA35" s="313"/>
    </row>
    <row r="36" spans="2:27" ht="15.95" customHeight="1" x14ac:dyDescent="0.25">
      <c r="B36" s="46"/>
      <c r="C36" s="227"/>
      <c r="D36" s="227"/>
      <c r="E36" s="432" t="str">
        <f>'Stage 2'!F32</f>
        <v>Horticulture</v>
      </c>
      <c r="F36" s="432"/>
      <c r="G36" s="432"/>
      <c r="H36" s="432"/>
      <c r="I36" s="432"/>
      <c r="J36" s="49"/>
      <c r="K36" s="315" t="str">
        <f>IF('Stage 2'!$K32&gt;0,'Stage 2'!O32/'Stage 2'!$K32,"")</f>
        <v/>
      </c>
      <c r="L36" s="230"/>
      <c r="M36" s="238" t="s">
        <v>62</v>
      </c>
      <c r="N36" s="240" t="s">
        <v>81</v>
      </c>
      <c r="O36" s="258"/>
      <c r="P36" s="49"/>
      <c r="Q36" s="49"/>
      <c r="R36" s="432" t="str">
        <f t="shared" si="0"/>
        <v>Horticulture</v>
      </c>
      <c r="S36" s="432"/>
      <c r="T36" s="432"/>
      <c r="U36" s="432"/>
      <c r="V36" s="432"/>
      <c r="W36" s="238" t="s">
        <v>62</v>
      </c>
      <c r="X36" s="49"/>
      <c r="Y36" s="285" t="str">
        <f>IF($W$15="Yes",IF($W36="Yes",IF($W$20="Wensum",(IF($W$21="Freely draining",IF($W$22="550-575",IF($W$23="Yes",'Data Tables'!Y10,'Data Tables'!Z10),IF($W$22="575-600",IF($W$23="Yes",'Data Tables'!Y10,'Data Tables'!Z10),IF($W$22="600-625",IF($W$23="Yes",'Data Tables'!Y10,'Data Tables'!Z10),IF($W$22="625-650",IF($W$23="Yes",'Data Tables'!Y10,'Data Tables'!Z10),IF($W$22="650-675",IF($W$23="Yes",'Data Tables'!Y10,'Data Tables'!Z10),IF($W$22="675-700",IF($W$23="Yes",'Data Tables'!Y10,'Data Tables'!Z10),IF($W$22="700-750",IF($W$23="Yes",'Data Tables'!AE10,'Data Tables'!AF10),IF($W$22="750-800",IF($W$23="Yes",'Data Tables'!AE10,'Data Tables'!AF10),IF($W$22="800-850",IF($W$23="Yes",'Data Tables'!AE10,'Data Tables'!AF10),IF($W$23="Yes",'Data Tables'!AE10,'Data Tables'!AF10)))))))))),IF($W$21="Impermeable - drained for arable",IF($W$22="550-575",IF($W$23="Yes",'Data Tables'!AA10,'Data Tables'!AB10),IF($W$22="575-600",IF($W$23="Yes",'Data Tables'!AA10,'Data Tables'!AB10),IF($W$22="600-625",IF($W$23="Yes",'Data Tables'!AA10,'Data Tables'!AB10),IF($W$22="625-650",IF($W$23="Yes",'Data Tables'!AA10,'Data Tables'!AB10),IF($W$22="650-675",IF($W$23="Yes",'Data Tables'!AA10,'Data Tables'!AB10),IF($W$22="675-700",IF($W$23="Yes",'Data Tables'!AA10,'Data Tables'!AB10),IF($W$22="700-750",IF($W$23="Yes",'Data Tables'!AG10,'Data Tables'!AH10),IF($W$22="750-800",IF($W$23="Yes",'Data Tables'!AG10,'Data Tables'!AH10),IF($W$22="800-850",IF($W$23="Yes",'Data Tables'!AG10,'Data Tables'!AH10),IF($W$23="Yes",'Data Tables'!AG10,'Data Tables'!AH10)))))))))),IF($W$22="550-575",IF($W$23="Yes",'Data Tables'!AC10,'Data Tables'!AD10),IF($W$22="575-600",IF($W$23="Yes",'Data Tables'!AC10,'Data Tables'!AD10),IF($W$22="600-625",IF($W$23="Yes",'Data Tables'!AC10,'Data Tables'!AD10),IF($W$22="625-650",IF($W$23="Yes",'Data Tables'!AC10,'Data Tables'!AD10),IF($W$22="650-675",IF($W$23="Yes",'Data Tables'!AC10,'Data Tables'!AD10),IF($W$22="675-700",IF($W$23="Yes",'Data Tables'!AC10,'Data Tables'!AD10),IF($W$22="700-750",IF($W$23="Yes",'Data Tables'!AI10,'Data Tables'!AJ10),IF($W$22="750-800",IF($W$23="Yes",'Data Tables'!AI10,'Data Tables'!AJ10),IF($W$22="800-850",IF($W$23="Yes",'Data Tables'!AI10,'Data Tables'!AJ10),IF($W$23="Yes",'Data Tables'!AI10,'Data Tables'!AJ10))))))))))))),IF($W$20="Yare",(IF($W$21="Freely draining",IF($W$22="550-575",IF($W$23="Yes",'Data Tables'!Y21,'Data Tables'!Z21),IF($W$22="575-600",IF($W$23="Yes",'Data Tables'!Y21,'Data Tables'!Z21),IF($W$22="600-625",IF($W$23="Yes",'Data Tables'!Y21,'Data Tables'!Z21),IF($W$22="625-650",IF($W$23="Yes",'Data Tables'!Y21,'Data Tables'!Z21),IF($W$22="650-675",IF($W$23="Yes",'Data Tables'!Y21,'Data Tables'!Z21),IF($W$22="675-700",IF($W$23="Yes",'Data Tables'!Y21,'Data Tables'!Z21),IF($W$22="700-750",IF($W$23="Yes",'Data Tables'!AE21,'Data Tables'!AF21),IF($W$22="750-800",IF($W$23="Yes",'Data Tables'!AE21,'Data Tables'!AF21),IF($W$22="800-850",IF($W$23="Yes",'Data Tables'!AE21,'Data Tables'!AF21),IF($W$23="Yes",'Data Tables'!AE21,'Data Tables'!AF21)))))))))),IF($W$21="Impermeable - drained for arable",IF($W$22="550-575",IF($W$23="Yes",'Data Tables'!AA21,'Data Tables'!AB21),IF($W$22="575-600",IF($W$23="Yes",'Data Tables'!AA21,'Data Tables'!AB21),IF($W$22="600-625",IF($W$23="Yes",'Data Tables'!AA21,'Data Tables'!AB21),IF($W$22="625-650",IF($W$23="Yes",'Data Tables'!AA21,'Data Tables'!AB21),IF($W$22="650-675",IF($W$23="Yes",'Data Tables'!AA21,'Data Tables'!AB21),IF($W$22="675-700",IF($W$23="Yes",'Data Tables'!AA21,'Data Tables'!AB21),IF($W$22="700-750",IF($W$23="Yes",'Data Tables'!AG21,'Data Tables'!AH21),IF($W$22="750-800",IF($W$23="Yes",'Data Tables'!AG21,'Data Tables'!AH21),IF($W$22="800-850",IF($W$23="Yes",'Data Tables'!AG21,'Data Tables'!AH21),IF($W$23="Yes",'Data Tables'!AG21,'Data Tables'!AH21)))))))))),IF($W$22="550-575",IF($W$23="Yes",'Data Tables'!AC21,'Data Tables'!AD21),IF($W$22="575-600",IF($W$23="Yes",'Data Tables'!AC21,'Data Tables'!AD21),IF($W$22="600-625",IF($W$23="Yes",'Data Tables'!AC21,'Data Tables'!AD21),IF($W$22="625-650",IF($W$23="Yes",'Data Tables'!AC21,'Data Tables'!AD21),IF($W$22="650-675",IF($W$23="Yes",'Data Tables'!AC21,'Data Tables'!AD21),IF($W$22="675-700",IF($W$23="Yes",'Data Tables'!AC21,'Data Tables'!AD21),IF($W$22="700-750",IF($W$23="Yes",'Data Tables'!AI21,'Data Tables'!AJ21),IF($W$22="750-800",IF($W$23="Yes",'Data Tables'!AI21,'Data Tables'!AJ21),IF($W$22="800-850",IF($W$23="Yes",'Data Tables'!AI21,'Data Tables'!AJ21),IF($W$23="Yes",'Data Tables'!AI21,'Data Tables'!AJ21))))))))))))),(IF($W$21="Freely draining",IF($W$22="550-575",IF($W$23="Yes",'Data Tables'!S32,'Data Tables'!T32),IF($W$22="575-600",IF($W$23="Yes",'Data Tables'!S32,'Data Tables'!T32),IF($W$22="600-625",IF($W$23="Yes",'Data Tables'!Y32,'Data Tables'!Z32),IF($W$22="625-650",IF($W$23="Yes",'Data Tables'!Y32,'Data Tables'!Z32),IF($W$22="650-675",IF($W$23="Yes",'Data Tables'!Y32,'Data Tables'!Z32),IF($W$22="675-700",IF($W$23="Yes",'Data Tables'!Y32,'Data Tables'!Z32),IF($W$22="700-750",IF($W$23="Yes",'Data Tables'!AE32,'Data Tables'!AF32),IF($W$22="750-800",IF($W$23="Yes",'Data Tables'!AE32,'Data Tables'!AF32),IF($W$22="800-850",IF($W$23="Yes",'Data Tables'!AE32,'Data Tables'!AF32),IF($W$23="Yes",'Data Tables'!AE32,'Data Tables'!AF32)))))))))),IF($W$21="Impermeable - drained for arable",IF($W$22="550-575",IF($W$23="Yes",'Data Tables'!U32,'Data Tables'!V32),IF($W$22="575-600",IF($W$23="Yes",'Data Tables'!U32,'Data Tables'!V32),IF($W$22="600-625",IF($W$23="Yes",'Data Tables'!AA32,'Data Tables'!AB32),IF($W$22="625-650",IF($W$23="Yes",'Data Tables'!AA32,'Data Tables'!AB32),IF($W$22="650-675",IF($W$23="Yes",'Data Tables'!AA32,'Data Tables'!AB32),IF($W$22="675-700",IF($W$23="Yes",'Data Tables'!AA32,'Data Tables'!AB32),IF($W$22="700-750",IF($W$23="Yes",'Data Tables'!AG32,'Data Tables'!AH32),IF($W$22="750-800",IF($W$23="Yes",'Data Tables'!AG32,'Data Tables'!AH32),IF($W$22="800-850",IF($W$23="Yes",'Data Tables'!AG32,'Data Tables'!AH32),IF($W$23="Yes",'Data Tables'!AG32,'Data Tables'!AH32)))))))))),IF($W$22="550-575",IF($W$23="Yes",'Data Tables'!W32,'Data Tables'!X32),IF($W$22="575-600",IF($W$23="Yes",'Data Tables'!W32,'Data Tables'!X32),IF($W$22="600-625",IF($W$23="Yes",'Data Tables'!AC32,'Data Tables'!AD32),IF($W$22="625-650",IF($W$23="Yes",'Data Tables'!AC32,'Data Tables'!AD32),IF($W$22="650-675",IF($W$23="Yes",'Data Tables'!AC32,'Data Tables'!AD32),IF($W$22="675-700",IF($W$23="Yes",'Data Tables'!AC32,'Data Tables'!AD32),IF($W$22="700-750",IF($W$23="Yes",'Data Tables'!AI32,'Data Tables'!AJ32),IF($W$22="750-800",IF($W$23="Yes",'Data Tables'!AI32,'Data Tables'!AJ32),IF($W$22="800-850",IF($W$23="Yes",'Data Tables'!AI32,'Data Tables'!AJ32),IF($W$23="Yes",'Data Tables'!AI32,'Data Tables'!AJ32))))))))))))))),0),"")</f>
        <v/>
      </c>
      <c r="Z36" s="330"/>
      <c r="AA36" s="313"/>
    </row>
    <row r="37" spans="2:27" ht="15.95" customHeight="1" x14ac:dyDescent="0.25">
      <c r="B37" s="46"/>
      <c r="C37" s="227"/>
      <c r="D37" s="227"/>
      <c r="E37" s="432" t="str">
        <f>'Stage 2'!F33</f>
        <v>Cereals</v>
      </c>
      <c r="F37" s="432"/>
      <c r="G37" s="432"/>
      <c r="H37" s="432"/>
      <c r="I37" s="432"/>
      <c r="J37" s="49"/>
      <c r="K37" s="315" t="str">
        <f>IF('Stage 2'!$K33&gt;0,'Stage 2'!O33/'Stage 2'!$K33,"")</f>
        <v/>
      </c>
      <c r="L37" s="230"/>
      <c r="M37" s="238" t="s">
        <v>62</v>
      </c>
      <c r="N37" s="240" t="s">
        <v>81</v>
      </c>
      <c r="O37" s="258"/>
      <c r="P37" s="49"/>
      <c r="Q37" s="49"/>
      <c r="R37" s="432" t="str">
        <f t="shared" si="0"/>
        <v>Cereals</v>
      </c>
      <c r="S37" s="432"/>
      <c r="T37" s="432"/>
      <c r="U37" s="432"/>
      <c r="V37" s="432"/>
      <c r="W37" s="238" t="s">
        <v>62</v>
      </c>
      <c r="X37" s="49"/>
      <c r="Y37" s="285" t="str">
        <f>IF($W$15="Yes",IF($W37="Yes",IF($W$20="Wensum",(IF($W$21="Freely draining",IF($W$22="550-575",IF($W$23="Yes",'Data Tables'!Y11,'Data Tables'!Z11),IF($W$22="575-600",IF($W$23="Yes",'Data Tables'!Y11,'Data Tables'!Z11),IF($W$22="600-625",IF($W$23="Yes",'Data Tables'!Y11,'Data Tables'!Z11),IF($W$22="625-650",IF($W$23="Yes",'Data Tables'!Y11,'Data Tables'!Z11),IF($W$22="650-675",IF($W$23="Yes",'Data Tables'!Y11,'Data Tables'!Z11),IF($W$22="675-700",IF($W$23="Yes",'Data Tables'!Y11,'Data Tables'!Z11),IF($W$22="700-750",IF($W$23="Yes",'Data Tables'!AE11,'Data Tables'!AF11),IF($W$22="750-800",IF($W$23="Yes",'Data Tables'!AE11,'Data Tables'!AF11),IF($W$22="800-850",IF($W$23="Yes",'Data Tables'!AE11,'Data Tables'!AF11),IF($W$23="Yes",'Data Tables'!AE11,'Data Tables'!AF11)))))))))),IF($W$21="Impermeable - drained for arable",IF($W$22="550-575",IF($W$23="Yes",'Data Tables'!AA11,'Data Tables'!AB11),IF($W$22="575-600",IF($W$23="Yes",'Data Tables'!AA11,'Data Tables'!AB11),IF($W$22="600-625",IF($W$23="Yes",'Data Tables'!AA11,'Data Tables'!AB11),IF($W$22="625-650",IF($W$23="Yes",'Data Tables'!AA11,'Data Tables'!AB11),IF($W$22="650-675",IF($W$23="Yes",'Data Tables'!AA11,'Data Tables'!AB11),IF($W$22="675-700",IF($W$23="Yes",'Data Tables'!AA11,'Data Tables'!AB11),IF($W$22="700-750",IF($W$23="Yes",'Data Tables'!AG11,'Data Tables'!AH11),IF($W$22="750-800",IF($W$23="Yes",'Data Tables'!AG11,'Data Tables'!AH11),IF($W$22="800-850",IF($W$23="Yes",'Data Tables'!AG11,'Data Tables'!AH11),IF($W$23="Yes",'Data Tables'!AG11,'Data Tables'!AH11)))))))))),IF($W$22="550-575",IF($W$23="Yes",'Data Tables'!AC11,'Data Tables'!AD11),IF($W$22="575-600",IF($W$23="Yes",'Data Tables'!AC11,'Data Tables'!AD11),IF($W$22="600-625",IF($W$23="Yes",'Data Tables'!AC11,'Data Tables'!AD11),IF($W$22="625-650",IF($W$23="Yes",'Data Tables'!AC11,'Data Tables'!AD11),IF($W$22="650-675",IF($W$23="Yes",'Data Tables'!AC11,'Data Tables'!AD11),IF($W$22="675-700",IF($W$23="Yes",'Data Tables'!AC11,'Data Tables'!AD11),IF($W$22="700-750",IF($W$23="Yes",'Data Tables'!AI11,'Data Tables'!AJ11),IF($W$22="750-800",IF($W$23="Yes",'Data Tables'!AI11,'Data Tables'!AJ11),IF($W$22="800-850",IF($W$23="Yes",'Data Tables'!AI11,'Data Tables'!AJ11),IF($W$23="Yes",'Data Tables'!AI11,'Data Tables'!AJ11))))))))))))),IF($W$20="Yare",(IF($W$21="Freely draining",IF($W$22="550-575",IF($W$23="Yes",'Data Tables'!Y22,'Data Tables'!Z22),IF($W$22="575-600",IF($W$23="Yes",'Data Tables'!Y22,'Data Tables'!Z22),IF($W$22="600-625",IF($W$23="Yes",'Data Tables'!Y22,'Data Tables'!Z22),IF($W$22="625-650",IF($W$23="Yes",'Data Tables'!Y22,'Data Tables'!Z22),IF($W$22="650-675",IF($W$23="Yes",'Data Tables'!Y22,'Data Tables'!Z22),IF($W$22="675-700",IF($W$23="Yes",'Data Tables'!Y22,'Data Tables'!Z22),IF($W$22="700-750",IF($W$23="Yes",'Data Tables'!AE22,'Data Tables'!AF22),IF($W$22="750-800",IF($W$23="Yes",'Data Tables'!AE22,'Data Tables'!AF22),IF($W$22="800-850",IF($W$23="Yes",'Data Tables'!AE22,'Data Tables'!AF22),IF($W$23="Yes",'Data Tables'!AE22,'Data Tables'!AF22)))))))))),IF($W$21="Impermeable - drained for arable",IF($W$22="550-575",IF($W$23="Yes",'Data Tables'!AA22,'Data Tables'!AB22),IF($W$22="575-600",IF($W$23="Yes",'Data Tables'!AA22,'Data Tables'!AB22),IF($W$22="600-625",IF($W$23="Yes",'Data Tables'!AA22,'Data Tables'!AB22),IF($W$22="625-650",IF($W$23="Yes",'Data Tables'!AA22,'Data Tables'!AB22),IF($W$22="650-675",IF($W$23="Yes",'Data Tables'!AA22,'Data Tables'!AB22),IF($W$22="675-700",IF($W$23="Yes",'Data Tables'!AA22,'Data Tables'!AB22),IF($W$22="700-750",IF($W$23="Yes",'Data Tables'!AG22,'Data Tables'!AH22),IF($W$22="750-800",IF($W$23="Yes",'Data Tables'!AG22,'Data Tables'!AH22),IF($W$22="800-850",IF($W$23="Yes",'Data Tables'!AG22,'Data Tables'!AH22),IF($W$23="Yes",'Data Tables'!AG22,'Data Tables'!AH22)))))))))),IF($W$22="550-575",IF($W$23="Yes",'Data Tables'!AC22,'Data Tables'!AD22),IF($W$22="575-600",IF($W$23="Yes",'Data Tables'!AC22,'Data Tables'!AD22),IF($W$22="600-625",IF($W$23="Yes",'Data Tables'!AC22,'Data Tables'!AD22),IF($W$22="625-650",IF($W$23="Yes",'Data Tables'!AC22,'Data Tables'!AD22),IF($W$22="650-675",IF($W$23="Yes",'Data Tables'!AC22,'Data Tables'!AD22),IF($W$22="675-700",IF($W$23="Yes",'Data Tables'!AC22,'Data Tables'!AD22),IF($W$22="700-750",IF($W$23="Yes",'Data Tables'!AI22,'Data Tables'!AJ22),IF($W$22="750-800",IF($W$23="Yes",'Data Tables'!AI22,'Data Tables'!AJ22),IF($W$22="800-850",IF($W$23="Yes",'Data Tables'!AI22,'Data Tables'!AJ22),IF($W$23="Yes",'Data Tables'!AI22,'Data Tables'!AJ22))))))))))))),(IF($W$21="Freely draining",IF($W$22="550-575",IF($W$23="Yes",'Data Tables'!S33,'Data Tables'!T33),IF($W$22="575-600",IF($W$23="Yes",'Data Tables'!S33,'Data Tables'!T33),IF($W$22="600-625",IF($W$23="Yes",'Data Tables'!Y33,'Data Tables'!Z33),IF($W$22="625-650",IF($W$23="Yes",'Data Tables'!Y33,'Data Tables'!Z33),IF($W$22="650-675",IF($W$23="Yes",'Data Tables'!Y33,'Data Tables'!Z33),IF($W$22="675-700",IF($W$23="Yes",'Data Tables'!Y33,'Data Tables'!Z33),IF($W$22="700-750",IF($W$23="Yes",'Data Tables'!AE33,'Data Tables'!AF33),IF($W$22="750-800",IF($W$23="Yes",'Data Tables'!AE33,'Data Tables'!AF33),IF($W$22="800-850",IF($W$23="Yes",'Data Tables'!AE33,'Data Tables'!AF33),IF($W$23="Yes",'Data Tables'!AE33,'Data Tables'!AF33)))))))))),IF($W$21="Impermeable - drained for arable",IF($W$22="550-575",IF($W$23="Yes",'Data Tables'!U33,'Data Tables'!V33),IF($W$22="575-600",IF($W$23="Yes",'Data Tables'!U33,'Data Tables'!V33),IF($W$22="600-625",IF($W$23="Yes",'Data Tables'!AA33,'Data Tables'!AB33),IF($W$22="625-650",IF($W$23="Yes",'Data Tables'!AA33,'Data Tables'!AB33),IF($W$22="650-675",IF($W$23="Yes",'Data Tables'!AA33,'Data Tables'!AB33),IF($W$22="675-700",IF($W$23="Yes",'Data Tables'!AA33,'Data Tables'!AB33),IF($W$22="700-750",IF($W$23="Yes",'Data Tables'!AG33,'Data Tables'!AH33),IF($W$22="750-800",IF($W$23="Yes",'Data Tables'!AG33,'Data Tables'!AH33),IF($W$22="800-850",IF($W$23="Yes",'Data Tables'!AG33,'Data Tables'!AH33),IF($W$23="Yes",'Data Tables'!AG33,'Data Tables'!AH33)))))))))),IF($W$22="550-575",IF($W$23="Yes",'Data Tables'!W33,'Data Tables'!X33),IF($W$22="575-600",IF($W$23="Yes",'Data Tables'!W33,'Data Tables'!X33),IF($W$22="600-625",IF($W$23="Yes",'Data Tables'!AC33,'Data Tables'!AD33),IF($W$22="625-650",IF($W$23="Yes",'Data Tables'!AC33,'Data Tables'!AD33),IF($W$22="650-675",IF($W$23="Yes",'Data Tables'!AC33,'Data Tables'!AD33),IF($W$22="675-700",IF($W$23="Yes",'Data Tables'!AC33,'Data Tables'!AD33),IF($W$22="700-750",IF($W$23="Yes",'Data Tables'!AI33,'Data Tables'!AJ33),IF($W$22="750-800",IF($W$23="Yes",'Data Tables'!AI33,'Data Tables'!AJ33),IF($W$22="800-850",IF($W$23="Yes",'Data Tables'!AI33,'Data Tables'!AJ33),IF($W$23="Yes",'Data Tables'!AI33,'Data Tables'!AJ33))))))))))))))),0),"")</f>
        <v/>
      </c>
      <c r="Z37" s="330"/>
      <c r="AA37" s="313"/>
    </row>
    <row r="38" spans="2:27" ht="15.95" customHeight="1" x14ac:dyDescent="0.25">
      <c r="B38" s="46"/>
      <c r="C38" s="227"/>
      <c r="D38" s="227"/>
      <c r="E38" s="432" t="str">
        <f>'Stage 2'!F34</f>
        <v>General arable</v>
      </c>
      <c r="F38" s="432"/>
      <c r="G38" s="432"/>
      <c r="H38" s="432"/>
      <c r="I38" s="432"/>
      <c r="J38" s="49"/>
      <c r="K38" s="315" t="str">
        <f>IF('Stage 2'!$K34&gt;0,'Stage 2'!O34/'Stage 2'!$K34,"")</f>
        <v/>
      </c>
      <c r="L38" s="230"/>
      <c r="M38" s="238" t="s">
        <v>62</v>
      </c>
      <c r="N38" s="240" t="s">
        <v>81</v>
      </c>
      <c r="O38" s="258"/>
      <c r="P38" s="49"/>
      <c r="Q38" s="49"/>
      <c r="R38" s="432" t="str">
        <f t="shared" si="0"/>
        <v>General arable</v>
      </c>
      <c r="S38" s="432"/>
      <c r="T38" s="432"/>
      <c r="U38" s="432"/>
      <c r="V38" s="432"/>
      <c r="W38" s="238" t="s">
        <v>62</v>
      </c>
      <c r="X38" s="49"/>
      <c r="Y38" s="285" t="str">
        <f>IF($W$15="Yes",IF($W38="Yes",IF($W$20="Wensum",(IF($W$21="Freely draining",IF($W$22="550-575",IF($W$23="Yes",'Data Tables'!Y12,'Data Tables'!Z12),IF($W$22="575-600",IF($W$23="Yes",'Data Tables'!Y12,'Data Tables'!Z12),IF($W$22="600-625",IF($W$23="Yes",'Data Tables'!Y12,'Data Tables'!Z12),IF($W$22="625-650",IF($W$23="Yes",'Data Tables'!Y12,'Data Tables'!Z12),IF($W$22="650-675",IF($W$23="Yes",'Data Tables'!Y12,'Data Tables'!Z12),IF($W$22="675-700",IF($W$23="Yes",'Data Tables'!Y12,'Data Tables'!Z12),IF($W$22="700-750",IF($W$23="Yes",'Data Tables'!AE12,'Data Tables'!AF12),IF($W$22="750-800",IF($W$23="Yes",'Data Tables'!AE12,'Data Tables'!AF12),IF($W$22="800-850",IF($W$23="Yes",'Data Tables'!AE12,'Data Tables'!AF12),IF($W$23="Yes",'Data Tables'!AE12,'Data Tables'!AF12)))))))))),IF($W$21="Impermeable - drained for arable",IF($W$22="550-575",IF($W$23="Yes",'Data Tables'!AA12,'Data Tables'!AB12),IF($W$22="575-600",IF($W$23="Yes",'Data Tables'!AA12,'Data Tables'!AB12),IF($W$22="600-625",IF($W$23="Yes",'Data Tables'!AA12,'Data Tables'!AB12),IF($W$22="625-650",IF($W$23="Yes",'Data Tables'!AA12,'Data Tables'!AB12),IF($W$22="650-675",IF($W$23="Yes",'Data Tables'!AA12,'Data Tables'!AB12),IF($W$22="675-700",IF($W$23="Yes",'Data Tables'!AA12,'Data Tables'!AB12),IF($W$22="700-750",IF($W$23="Yes",'Data Tables'!AG12,'Data Tables'!AH12),IF($W$22="750-800",IF($W$23="Yes",'Data Tables'!AG12,'Data Tables'!AH12),IF($W$22="800-850",IF($W$23="Yes",'Data Tables'!AG12,'Data Tables'!AH12),IF($W$23="Yes",'Data Tables'!AG12,'Data Tables'!AH12)))))))))),IF($W$22="550-575",IF($W$23="Yes",'Data Tables'!AC12,'Data Tables'!AD12),IF($W$22="575-600",IF($W$23="Yes",'Data Tables'!AC12,'Data Tables'!AD12),IF($W$22="600-625",IF($W$23="Yes",'Data Tables'!AC12,'Data Tables'!AD12),IF($W$22="625-650",IF($W$23="Yes",'Data Tables'!AC12,'Data Tables'!AD12),IF($W$22="650-675",IF($W$23="Yes",'Data Tables'!AC12,'Data Tables'!AD12),IF($W$22="675-700",IF($W$23="Yes",'Data Tables'!AC12,'Data Tables'!AD12),IF($W$22="700-750",IF($W$23="Yes",'Data Tables'!AI12,'Data Tables'!AJ12),IF($W$22="750-800",IF($W$23="Yes",'Data Tables'!AI12,'Data Tables'!AJ12),IF($W$22="800-850",IF($W$23="Yes",'Data Tables'!AI12,'Data Tables'!AJ12),IF($W$23="Yes",'Data Tables'!AI12,'Data Tables'!AJ12))))))))))))),IF($W$20="Yare",(IF($W$21="Freely draining",IF($W$22="550-575",IF($W$23="Yes",'Data Tables'!Y23,'Data Tables'!Z23),IF($W$22="575-600",IF($W$23="Yes",'Data Tables'!Y23,'Data Tables'!Z23),IF($W$22="600-625",IF($W$23="Yes",'Data Tables'!Y23,'Data Tables'!Z23),IF($W$22="625-650",IF($W$23="Yes",'Data Tables'!Y23,'Data Tables'!Z23),IF($W$22="650-675",IF($W$23="Yes",'Data Tables'!Y23,'Data Tables'!Z23),IF($W$22="675-700",IF($W$23="Yes",'Data Tables'!Y23,'Data Tables'!Z23),IF($W$22="700-750",IF($W$23="Yes",'Data Tables'!AE23,'Data Tables'!AF23),IF($W$22="750-800",IF($W$23="Yes",'Data Tables'!AE23,'Data Tables'!AF23),IF($W$22="800-850",IF($W$23="Yes",'Data Tables'!AE23,'Data Tables'!AF23),IF($W$23="Yes",'Data Tables'!AE23,'Data Tables'!AF23)))))))))),IF($W$21="Impermeable - drained for arable",IF($W$22="550-575",IF($W$23="Yes",'Data Tables'!AA23,'Data Tables'!AB23),IF($W$22="575-600",IF($W$23="Yes",'Data Tables'!AA23,'Data Tables'!AB23),IF($W$22="600-625",IF($W$23="Yes",'Data Tables'!AA23,'Data Tables'!AB23),IF($W$22="625-650",IF($W$23="Yes",'Data Tables'!AA23,'Data Tables'!AB23),IF($W$22="650-675",IF($W$23="Yes",'Data Tables'!AA23,'Data Tables'!AB23),IF($W$22="675-700",IF($W$23="Yes",'Data Tables'!AA23,'Data Tables'!AB23),IF($W$22="700-750",IF($W$23="Yes",'Data Tables'!AG23,'Data Tables'!AH23),IF($W$22="750-800",IF($W$23="Yes",'Data Tables'!AG23,'Data Tables'!AH23),IF($W$22="800-850",IF($W$23="Yes",'Data Tables'!AG23,'Data Tables'!AH23),IF($W$23="Yes",'Data Tables'!AG23,'Data Tables'!AH23)))))))))),IF($W$22="550-575",IF($W$23="Yes",'Data Tables'!AC23,'Data Tables'!AD23),IF($W$22="575-600",IF($W$23="Yes",'Data Tables'!AC23,'Data Tables'!AD23),IF($W$22="600-625",IF($W$23="Yes",'Data Tables'!AC23,'Data Tables'!AD23),IF($W$22="625-650",IF($W$23="Yes",'Data Tables'!AC23,'Data Tables'!AD23),IF($W$22="650-675",IF($W$23="Yes",'Data Tables'!AC23,'Data Tables'!AD23),IF($W$22="675-700",IF($W$23="Yes",'Data Tables'!AC23,'Data Tables'!AD23),IF($W$22="700-750",IF($W$23="Yes",'Data Tables'!AI23,'Data Tables'!AJ23),IF($W$22="750-800",IF($W$23="Yes",'Data Tables'!AI23,'Data Tables'!AJ23),IF($W$22="800-850",IF($W$23="Yes",'Data Tables'!AI23,'Data Tables'!AJ23),IF($W$23="Yes",'Data Tables'!AI23,'Data Tables'!AJ23))))))))))))),(IF($W$21="Freely draining",IF($W$22="550-575",IF($W$23="Yes",'Data Tables'!S34,'Data Tables'!T34),IF($W$22="575-600",IF($W$23="Yes",'Data Tables'!S34,'Data Tables'!T34),IF($W$22="600-625",IF($W$23="Yes",'Data Tables'!Y34,'Data Tables'!Z34),IF($W$22="625-650",IF($W$23="Yes",'Data Tables'!Y34,'Data Tables'!Z34),IF($W$22="650-675",IF($W$23="Yes",'Data Tables'!Y34,'Data Tables'!Z34),IF($W$22="675-700",IF($W$23="Yes",'Data Tables'!Y34,'Data Tables'!Z34),IF($W$22="700-750",IF($W$23="Yes",'Data Tables'!AE34,'Data Tables'!AF34),IF($W$22="750-800",IF($W$23="Yes",'Data Tables'!AE34,'Data Tables'!AF34),IF($W$22="800-850",IF($W$23="Yes",'Data Tables'!AE34,'Data Tables'!AF34),IF($W$23="Yes",'Data Tables'!AE34,'Data Tables'!AF34)))))))))),IF($W$21="Impermeable - drained for arable",IF($W$22="550-575",IF($W$23="Yes",'Data Tables'!U34,'Data Tables'!V34),IF($W$22="575-600",IF($W$23="Yes",'Data Tables'!U34,'Data Tables'!V34),IF($W$22="600-625",IF($W$23="Yes",'Data Tables'!AA34,'Data Tables'!AB34),IF($W$22="625-650",IF($W$23="Yes",'Data Tables'!AA34,'Data Tables'!AB34),IF($W$22="650-675",IF($W$23="Yes",'Data Tables'!AA34,'Data Tables'!AB34),IF($W$22="675-700",IF($W$23="Yes",'Data Tables'!AA34,'Data Tables'!AB34),IF($W$22="700-750",IF($W$23="Yes",'Data Tables'!AG34,'Data Tables'!AH34),IF($W$22="750-800",IF($W$23="Yes",'Data Tables'!AG34,'Data Tables'!AH34),IF($W$22="800-850",IF($W$23="Yes",'Data Tables'!AG34,'Data Tables'!AH34),IF($W$23="Yes",'Data Tables'!AG34,'Data Tables'!AH34)))))))))),IF($W$22="550-575",IF($W$23="Yes",'Data Tables'!W34,'Data Tables'!X34),IF($W$22="575-600",IF($W$23="Yes",'Data Tables'!W34,'Data Tables'!X34),IF($W$22="600-625",IF($W$23="Yes",'Data Tables'!AC34,'Data Tables'!AD34),IF($W$22="625-650",IF($W$23="Yes",'Data Tables'!AC34,'Data Tables'!AD34),IF($W$22="650-675",IF($W$23="Yes",'Data Tables'!AC34,'Data Tables'!AD34),IF($W$22="675-700",IF($W$23="Yes",'Data Tables'!AC34,'Data Tables'!AD34),IF($W$22="700-750",IF($W$23="Yes",'Data Tables'!AI34,'Data Tables'!AJ34),IF($W$22="750-800",IF($W$23="Yes",'Data Tables'!AI34,'Data Tables'!AJ34),IF($W$22="800-850",IF($W$23="Yes",'Data Tables'!AI34,'Data Tables'!AJ34),IF($W$23="Yes",'Data Tables'!AI34,'Data Tables'!AJ34))))))))))))))),0),"")</f>
        <v/>
      </c>
      <c r="Z38" s="330"/>
      <c r="AA38" s="313"/>
    </row>
    <row r="39" spans="2:27" ht="15.95" customHeight="1" x14ac:dyDescent="0.25">
      <c r="B39" s="46"/>
      <c r="C39" s="227"/>
      <c r="D39" s="227"/>
      <c r="E39" s="432" t="str">
        <f>'Stage 2'!F35</f>
        <v>Allotments and city farms</v>
      </c>
      <c r="F39" s="432"/>
      <c r="G39" s="432"/>
      <c r="H39" s="432"/>
      <c r="I39" s="432"/>
      <c r="J39" s="49"/>
      <c r="K39" s="290" t="str">
        <f>IF('Stage 2'!K35&gt;0,'Data Tables'!O3,"")</f>
        <v/>
      </c>
      <c r="L39" s="269"/>
      <c r="M39" s="238" t="s">
        <v>62</v>
      </c>
      <c r="N39" s="240" t="s">
        <v>81</v>
      </c>
      <c r="O39" s="258"/>
      <c r="P39" s="49"/>
      <c r="Q39" s="49"/>
      <c r="R39" s="432" t="str">
        <f t="shared" si="0"/>
        <v>Allotments and city farms</v>
      </c>
      <c r="S39" s="432"/>
      <c r="T39" s="432"/>
      <c r="U39" s="432"/>
      <c r="V39" s="432"/>
      <c r="W39" s="238" t="s">
        <v>62</v>
      </c>
      <c r="X39" s="49"/>
      <c r="Y39" s="285" t="str">
        <f>IF($W$15="Yes",(IF(W39="Yes",'Data Tables'!O3,0)),"")</f>
        <v/>
      </c>
      <c r="Z39" s="330"/>
      <c r="AA39" s="313"/>
    </row>
    <row r="40" spans="2:27" ht="15.95" customHeight="1" x14ac:dyDescent="0.25">
      <c r="B40" s="46"/>
      <c r="C40" s="227"/>
      <c r="D40" s="227"/>
      <c r="E40" s="432" t="str">
        <f>'Stage 2'!F36</f>
        <v>Woodland (e.g. conifer, mixed, broad-leaved)</v>
      </c>
      <c r="F40" s="432"/>
      <c r="G40" s="432"/>
      <c r="H40" s="432"/>
      <c r="I40" s="432"/>
      <c r="J40" s="49"/>
      <c r="K40" s="290" t="str">
        <f>IF('Stage 2'!K36&gt;0,'Data Tables'!O5,"")</f>
        <v/>
      </c>
      <c r="L40" s="269"/>
      <c r="M40" s="238" t="s">
        <v>62</v>
      </c>
      <c r="N40" s="240" t="s">
        <v>81</v>
      </c>
      <c r="O40" s="258"/>
      <c r="P40" s="49"/>
      <c r="Q40" s="49"/>
      <c r="R40" s="432" t="str">
        <f t="shared" si="0"/>
        <v>Woodland (e.g. conifer, mixed, broad-leaved)</v>
      </c>
      <c r="S40" s="432"/>
      <c r="T40" s="432"/>
      <c r="U40" s="432"/>
      <c r="V40" s="432"/>
      <c r="W40" s="238" t="s">
        <v>62</v>
      </c>
      <c r="X40" s="49"/>
      <c r="Y40" s="285" t="str">
        <f>IF($W$15="Yes",(IF(W40="Yes",'Data Tables'!O5,0)),"")</f>
        <v/>
      </c>
      <c r="Z40" s="330"/>
      <c r="AA40" s="313"/>
    </row>
    <row r="41" spans="2:27" ht="15.95" customHeight="1" x14ac:dyDescent="0.25">
      <c r="B41" s="46"/>
      <c r="C41" s="227"/>
      <c r="D41" s="227"/>
      <c r="E41" s="432" t="str">
        <f>'Stage 2'!F37</f>
        <v>Greenspace</v>
      </c>
      <c r="F41" s="432"/>
      <c r="G41" s="432"/>
      <c r="H41" s="432"/>
      <c r="I41" s="432"/>
      <c r="J41" s="49"/>
      <c r="K41" s="290" t="str">
        <f>IF('Stage 2'!K37&gt;0,'Data Tables'!O4,"")</f>
        <v/>
      </c>
      <c r="L41" s="269"/>
      <c r="M41" s="238" t="s">
        <v>62</v>
      </c>
      <c r="N41" s="240" t="s">
        <v>81</v>
      </c>
      <c r="O41" s="258"/>
      <c r="P41" s="49"/>
      <c r="Q41" s="49"/>
      <c r="R41" s="432" t="str">
        <f t="shared" si="0"/>
        <v>Greenspace</v>
      </c>
      <c r="S41" s="432"/>
      <c r="T41" s="432"/>
      <c r="U41" s="432"/>
      <c r="V41" s="432"/>
      <c r="W41" s="238" t="s">
        <v>62</v>
      </c>
      <c r="X41" s="49"/>
      <c r="Y41" s="285" t="str">
        <f>IF($W$15="Yes",(IF(W41="Yes",'Data Tables'!O4,0)),"")</f>
        <v/>
      </c>
      <c r="Z41" s="330"/>
      <c r="AA41" s="313"/>
    </row>
    <row r="42" spans="2:27" ht="15.95" customHeight="1" x14ac:dyDescent="0.25">
      <c r="B42" s="46"/>
      <c r="C42" s="227"/>
      <c r="D42" s="227"/>
      <c r="E42" s="432" t="str">
        <f>'Stage 2'!F38</f>
        <v>Shrub / heathland / bracken / bog</v>
      </c>
      <c r="F42" s="432"/>
      <c r="G42" s="432"/>
      <c r="H42" s="432"/>
      <c r="I42" s="432"/>
      <c r="J42" s="49"/>
      <c r="K42" s="290" t="str">
        <f>IF('Stage 2'!K38&gt;0,'Data Tables'!O6,"")</f>
        <v/>
      </c>
      <c r="L42" s="269"/>
      <c r="M42" s="238" t="s">
        <v>62</v>
      </c>
      <c r="N42" s="240" t="s">
        <v>81</v>
      </c>
      <c r="O42" s="258"/>
      <c r="P42" s="49"/>
      <c r="Q42" s="49"/>
      <c r="R42" s="432" t="str">
        <f t="shared" si="0"/>
        <v>Shrub / heathland / bracken / bog</v>
      </c>
      <c r="S42" s="432"/>
      <c r="T42" s="432"/>
      <c r="U42" s="432"/>
      <c r="V42" s="432"/>
      <c r="W42" s="238" t="s">
        <v>62</v>
      </c>
      <c r="X42" s="49"/>
      <c r="Y42" s="285" t="str">
        <f>IF($W$15="Yes",(IF(W42="Yes",'Data Tables'!O6,0)),"")</f>
        <v/>
      </c>
      <c r="Z42" s="330"/>
      <c r="AA42" s="313"/>
    </row>
    <row r="43" spans="2:27" ht="15" customHeight="1" x14ac:dyDescent="0.25">
      <c r="B43" s="46"/>
      <c r="C43" s="227"/>
      <c r="D43" s="227"/>
      <c r="E43" s="432" t="str">
        <f>'Stage 2'!F39</f>
        <v>Water</v>
      </c>
      <c r="F43" s="432"/>
      <c r="G43" s="432"/>
      <c r="H43" s="432"/>
      <c r="I43" s="432"/>
      <c r="J43" s="49"/>
      <c r="K43" s="290" t="str">
        <f>IF('Stage 2'!K39&gt;0,'Data Tables'!O7,"")</f>
        <v/>
      </c>
      <c r="L43" s="269"/>
      <c r="M43" s="238" t="s">
        <v>62</v>
      </c>
      <c r="N43" s="240" t="s">
        <v>81</v>
      </c>
      <c r="O43" s="258"/>
      <c r="P43" s="49"/>
      <c r="Q43" s="49"/>
      <c r="R43" s="432" t="str">
        <f t="shared" si="0"/>
        <v>Water</v>
      </c>
      <c r="S43" s="432"/>
      <c r="T43" s="432"/>
      <c r="U43" s="432"/>
      <c r="V43" s="432"/>
      <c r="W43" s="238" t="s">
        <v>62</v>
      </c>
      <c r="X43" s="49"/>
      <c r="Y43" s="285" t="str">
        <f>IF($W$15="Yes",(IF(W43="Yes",'Data Tables'!O7,0)),"")</f>
        <v/>
      </c>
      <c r="Z43" s="330"/>
      <c r="AA43" s="313"/>
    </row>
    <row r="44" spans="2:27" ht="15.95" customHeight="1" x14ac:dyDescent="0.25">
      <c r="B44" s="46"/>
      <c r="C44" s="227"/>
      <c r="D44" s="227"/>
      <c r="E44" s="49"/>
      <c r="F44" s="38"/>
      <c r="G44" s="49"/>
      <c r="H44" s="49"/>
      <c r="I44" s="49"/>
      <c r="J44" s="49"/>
      <c r="K44" s="269"/>
      <c r="L44" s="269"/>
      <c r="M44" s="49"/>
      <c r="N44" s="246"/>
      <c r="O44" s="258"/>
      <c r="P44" s="49"/>
      <c r="Q44" s="49"/>
      <c r="R44" s="49"/>
      <c r="S44" s="49"/>
      <c r="T44" s="49"/>
      <c r="U44" s="49"/>
      <c r="V44" s="49"/>
      <c r="W44" s="144" t="s">
        <v>436</v>
      </c>
      <c r="X44" s="49"/>
      <c r="Y44" s="49"/>
      <c r="Z44" s="49"/>
      <c r="AA44" s="313"/>
    </row>
    <row r="45" spans="2:27" ht="15.95" customHeight="1" x14ac:dyDescent="0.25">
      <c r="B45" s="46"/>
      <c r="C45" s="227"/>
      <c r="D45" s="227"/>
      <c r="E45" s="445" t="s">
        <v>89</v>
      </c>
      <c r="F45" s="445"/>
      <c r="G45" s="445"/>
      <c r="H45" s="445"/>
      <c r="I45" s="445"/>
      <c r="J45" s="49"/>
      <c r="K45" s="273">
        <f>IF(K15="Yes",(IF(M21="Yes",K21,0)+IF(M26="Yes",K26,0)+IF(M27="Yes",K27,0)+IF(M28="Yes",K28,0)+IF(M29="Yes",K29,0)+IF(M30="Yes",K30,0)+IF(M31="Yes",K31,0)+IF(M32="Yes",K32,0)+IF(M33="Yes",K33,0)+IF(M34="Yes",K34,0)+IF(M35="Yes",K35,0)+IF(M36="Yes",K36,0)+IF(M37="Yes",K37,0)+IF(M38="Yes",K38,0)+IF(M39="Yes",K39,0)+IF(M40="Yes",K40,0)+IF(M41="Yes",K41,0)+IF(M42="Yes",K42,0)+IF(M43="Yes",K43,0))/COUNTIF(M21:M43,"Yes"),0)</f>
        <v>0</v>
      </c>
      <c r="L45" s="269"/>
      <c r="M45" s="49"/>
      <c r="N45" s="246"/>
      <c r="O45" s="258"/>
      <c r="P45" s="49"/>
      <c r="Q45" s="49"/>
      <c r="R45" s="445" t="s">
        <v>90</v>
      </c>
      <c r="S45" s="445"/>
      <c r="T45" s="445"/>
      <c r="U45" s="445"/>
      <c r="V45" s="445"/>
      <c r="W45" s="291">
        <f>IF(W15="Yes",SUM(Y26:Y43)/(COUNTIF(W26:W43,"Yes")),0)</f>
        <v>0</v>
      </c>
      <c r="X45" s="316"/>
      <c r="Y45" s="226"/>
      <c r="Z45" s="226"/>
      <c r="AA45" s="313"/>
    </row>
    <row r="46" spans="2:27" ht="15.95" customHeight="1" x14ac:dyDescent="0.25">
      <c r="B46" s="46"/>
      <c r="C46" s="227"/>
      <c r="D46" s="227"/>
      <c r="E46" s="281"/>
      <c r="F46" s="281"/>
      <c r="G46" s="281"/>
      <c r="H46" s="281"/>
      <c r="I46" s="281"/>
      <c r="J46" s="49"/>
      <c r="K46" s="269"/>
      <c r="L46" s="269"/>
      <c r="M46" s="49"/>
      <c r="N46" s="246"/>
      <c r="O46" s="49"/>
      <c r="P46" s="49"/>
      <c r="Q46" s="49"/>
      <c r="R46" s="281"/>
      <c r="S46" s="281"/>
      <c r="T46" s="281"/>
      <c r="U46" s="281"/>
      <c r="V46" s="281"/>
      <c r="W46" s="316"/>
      <c r="X46" s="49"/>
      <c r="Y46" s="316"/>
      <c r="Z46" s="316"/>
      <c r="AA46" s="313"/>
    </row>
    <row r="47" spans="2:27" ht="15.95" customHeight="1" x14ac:dyDescent="0.25">
      <c r="B47" s="46"/>
      <c r="C47" s="227"/>
      <c r="D47" s="227"/>
      <c r="E47" s="49"/>
      <c r="F47" s="38"/>
      <c r="G47" s="49"/>
      <c r="H47" s="49"/>
      <c r="I47" s="49"/>
      <c r="J47" s="49"/>
      <c r="K47" s="269"/>
      <c r="L47" s="269"/>
      <c r="M47" s="49"/>
      <c r="N47" s="246"/>
      <c r="O47" s="144" t="s">
        <v>436</v>
      </c>
      <c r="P47" s="49"/>
      <c r="Q47" s="49"/>
      <c r="R47" s="49"/>
      <c r="S47" s="49"/>
      <c r="T47" s="49"/>
      <c r="U47" s="49"/>
      <c r="V47" s="49"/>
      <c r="W47" s="49"/>
      <c r="X47" s="49"/>
      <c r="Y47" s="49"/>
      <c r="Z47" s="49"/>
      <c r="AA47" s="313"/>
    </row>
    <row r="48" spans="2:27" ht="15.95" customHeight="1" x14ac:dyDescent="0.25">
      <c r="B48" s="46"/>
      <c r="C48" s="227"/>
      <c r="D48" s="227"/>
      <c r="E48" s="49"/>
      <c r="F48" s="38"/>
      <c r="G48" s="49"/>
      <c r="H48" s="49"/>
      <c r="I48" s="445" t="s">
        <v>92</v>
      </c>
      <c r="J48" s="445"/>
      <c r="K48" s="445"/>
      <c r="L48" s="445"/>
      <c r="M48" s="445"/>
      <c r="N48" s="445"/>
      <c r="O48" s="273" t="str">
        <f>IF(K45+W45&gt;0,K45+W45,"")</f>
        <v/>
      </c>
      <c r="P48" s="316"/>
      <c r="Q48" s="316"/>
      <c r="R48" s="49"/>
      <c r="S48" s="49"/>
      <c r="T48" s="49"/>
      <c r="U48" s="49"/>
      <c r="V48" s="49"/>
      <c r="W48" s="49"/>
      <c r="X48" s="49"/>
      <c r="Y48" s="49"/>
      <c r="Z48" s="49"/>
      <c r="AA48" s="313"/>
    </row>
    <row r="49" spans="2:27" ht="15.95" customHeight="1" thickBot="1" x14ac:dyDescent="0.3">
      <c r="B49" s="46"/>
      <c r="C49" s="227"/>
      <c r="D49" s="317"/>
      <c r="E49" s="247"/>
      <c r="F49" s="247"/>
      <c r="G49" s="247"/>
      <c r="H49" s="247"/>
      <c r="I49" s="247"/>
      <c r="J49" s="247"/>
      <c r="K49" s="247"/>
      <c r="L49" s="247"/>
      <c r="M49" s="247"/>
      <c r="N49" s="247"/>
      <c r="O49" s="247"/>
      <c r="P49" s="247"/>
      <c r="Q49" s="49"/>
      <c r="R49" s="49"/>
      <c r="S49" s="49"/>
      <c r="T49" s="318"/>
      <c r="U49" s="318"/>
      <c r="V49" s="318"/>
      <c r="W49" s="318"/>
      <c r="X49" s="318"/>
      <c r="Y49" s="318"/>
      <c r="Z49" s="318"/>
      <c r="AA49" s="319"/>
    </row>
    <row r="50" spans="2:27" ht="11.45" customHeight="1" x14ac:dyDescent="0.25">
      <c r="B50" s="46"/>
      <c r="C50" s="227"/>
      <c r="D50" s="49"/>
      <c r="E50" s="49"/>
      <c r="F50" s="49"/>
      <c r="G50" s="49"/>
      <c r="H50" s="49"/>
      <c r="I50" s="49"/>
      <c r="J50" s="49"/>
      <c r="K50" s="49"/>
      <c r="L50" s="49"/>
      <c r="M50" s="49"/>
      <c r="N50" s="49"/>
      <c r="O50" s="49"/>
      <c r="P50" s="49"/>
      <c r="Q50" s="49"/>
      <c r="R50" s="49"/>
      <c r="S50" s="320"/>
      <c r="T50" s="66"/>
      <c r="U50" s="66"/>
      <c r="V50" s="66"/>
      <c r="W50" s="66"/>
      <c r="X50" s="66"/>
      <c r="Y50" s="66"/>
      <c r="Z50" s="66"/>
      <c r="AA50" s="66"/>
    </row>
    <row r="51" spans="2:27" ht="15.75" hidden="1" x14ac:dyDescent="0.25">
      <c r="B51" s="46"/>
      <c r="C51" s="227"/>
      <c r="D51" s="49"/>
      <c r="E51" s="48" t="s">
        <v>12</v>
      </c>
      <c r="F51" s="374" t="s">
        <v>31</v>
      </c>
      <c r="G51" s="374"/>
      <c r="H51" s="374"/>
      <c r="I51" s="374"/>
      <c r="J51" s="374"/>
      <c r="K51" s="144" t="s">
        <v>2</v>
      </c>
      <c r="L51" s="144"/>
      <c r="M51" s="144" t="s">
        <v>3</v>
      </c>
      <c r="N51" s="49"/>
      <c r="O51" s="49"/>
      <c r="P51" s="49"/>
      <c r="Q51" s="49"/>
      <c r="R51" s="49"/>
      <c r="S51" s="320"/>
      <c r="T51" s="66"/>
      <c r="U51" s="66"/>
      <c r="V51" s="66"/>
      <c r="W51" s="66"/>
      <c r="X51" s="66"/>
      <c r="Y51" s="66"/>
      <c r="Z51" s="66"/>
      <c r="AA51" s="66"/>
    </row>
    <row r="52" spans="2:27" ht="12.95" customHeight="1" x14ac:dyDescent="0.25">
      <c r="B52" s="46"/>
      <c r="C52" s="227"/>
      <c r="D52" s="49"/>
      <c r="E52" s="49"/>
      <c r="F52" s="49"/>
      <c r="G52" s="49"/>
      <c r="H52" s="49"/>
      <c r="I52" s="49"/>
      <c r="J52" s="49"/>
      <c r="K52" s="49"/>
      <c r="L52" s="49"/>
      <c r="M52" s="49"/>
      <c r="N52" s="49"/>
      <c r="O52" s="49"/>
      <c r="P52" s="49"/>
      <c r="Q52" s="49"/>
      <c r="R52" s="49"/>
      <c r="S52" s="320"/>
      <c r="T52" s="66"/>
      <c r="U52" s="66"/>
      <c r="V52" s="66"/>
      <c r="W52" s="66"/>
      <c r="X52" s="66"/>
      <c r="Y52" s="66"/>
      <c r="Z52" s="66"/>
      <c r="AA52" s="66"/>
    </row>
    <row r="53" spans="2:27" ht="12.95" customHeight="1" x14ac:dyDescent="0.25">
      <c r="B53" s="46"/>
      <c r="C53" s="227"/>
      <c r="D53" s="49"/>
      <c r="E53" s="432" t="s">
        <v>32</v>
      </c>
      <c r="F53" s="432"/>
      <c r="G53" s="432"/>
      <c r="H53" s="432"/>
      <c r="I53" s="432"/>
      <c r="J53" s="49"/>
      <c r="K53" s="321" t="e">
        <f>(1/(((O48-(-IF(K61&gt;0,K61,8))))/$K$10))</f>
        <v>#VALUE!</v>
      </c>
      <c r="L53" s="322"/>
      <c r="M53" s="240" t="s">
        <v>17</v>
      </c>
      <c r="N53" s="49"/>
      <c r="O53" s="49"/>
      <c r="P53" s="49"/>
      <c r="Q53" s="49"/>
      <c r="R53" s="49"/>
      <c r="S53" s="320"/>
      <c r="T53" s="66"/>
      <c r="U53" s="66"/>
      <c r="V53" s="66"/>
      <c r="W53" s="66"/>
      <c r="X53" s="66"/>
      <c r="Y53" s="66"/>
      <c r="Z53" s="66"/>
      <c r="AA53" s="66"/>
    </row>
    <row r="54" spans="2:27" ht="14.45" customHeight="1" x14ac:dyDescent="0.25">
      <c r="B54" s="46"/>
      <c r="C54" s="227"/>
      <c r="D54" s="49"/>
      <c r="E54" s="432" t="s">
        <v>489</v>
      </c>
      <c r="F54" s="432"/>
      <c r="G54" s="432"/>
      <c r="H54" s="432"/>
      <c r="I54" s="432"/>
      <c r="J54" s="49"/>
      <c r="K54" s="321" t="e">
        <f>(K10/($O$48-(IF(K15="Yes",IF('Stage 2'!$K$14="550-575",'Data Tables'!AK39,IF('Stage 2'!$K$14="575-600",'Data Tables'!AK40,IF('Stage 2'!$K$14="600-625",'Data Tables'!AK41,IF('Stage 2'!$K$14="625-650",'Data Tables'!AK42,IF('Stage 2'!$K$14="650-675",'Data Tables'!AK43,IF('Stage 2'!$K$14="675-700",'Data Tables'!AK44,IF('Stage 2'!$K$14="700-750",'Data Tables'!AK45,IF('Stage 2'!$K$14="750-800",'Data Tables'!AK46,IF('Stage 2'!$K$14="800-850",'Data Tables'!AK47,'Data Tables'!AK48))))))))),IF($W$22="550-575",'Data Tables'!AK39,IF($W$22="575-600",'Data Tables'!AK40,IF($W$22="600-625",'Data Tables'!AK41,IF($W$22="625-650",'Data Tables'!AK42,IF($W$22="650-675",'Data Tables'!AK43,IF($W$22="675-700",'Data Tables'!AK44,IF($W$22="700-750",'Data Tables'!AK45,IF($W$22="750-800",'Data Tables'!AK46,IF($W$22="800-850",'Data Tables'!AK47,'Data Tables'!AK48)))))))))))))</f>
        <v>#VALUE!</v>
      </c>
      <c r="L54" s="322"/>
      <c r="M54" s="240" t="s">
        <v>17</v>
      </c>
      <c r="N54" s="49"/>
      <c r="O54" s="49"/>
      <c r="P54" s="49"/>
      <c r="Q54" s="49"/>
      <c r="R54" s="49"/>
      <c r="S54" s="320"/>
      <c r="T54" s="66"/>
      <c r="U54" s="66"/>
      <c r="V54" s="66"/>
      <c r="W54" s="66"/>
      <c r="X54" s="66"/>
      <c r="Y54" s="66"/>
      <c r="Z54" s="66"/>
      <c r="AA54" s="66"/>
    </row>
    <row r="55" spans="2:27" ht="14.45" customHeight="1" x14ac:dyDescent="0.25">
      <c r="B55" s="46"/>
      <c r="C55" s="227"/>
      <c r="D55" s="49"/>
      <c r="E55" s="432" t="s">
        <v>400</v>
      </c>
      <c r="F55" s="432"/>
      <c r="G55" s="432"/>
      <c r="H55" s="432"/>
      <c r="I55" s="432"/>
      <c r="J55" s="144"/>
      <c r="K55" s="321" t="e">
        <f>(1/(($O$48-'Data Tables'!O7)/$K$10))</f>
        <v>#VALUE!</v>
      </c>
      <c r="L55" s="322"/>
      <c r="M55" s="240" t="s">
        <v>17</v>
      </c>
      <c r="N55" s="240"/>
      <c r="O55" s="264"/>
      <c r="P55" s="264"/>
      <c r="Q55" s="240"/>
      <c r="R55" s="49"/>
      <c r="S55" s="320"/>
      <c r="T55" s="66"/>
      <c r="U55" s="66"/>
      <c r="V55" s="66"/>
      <c r="W55" s="66"/>
      <c r="X55" s="66"/>
      <c r="Y55" s="66"/>
      <c r="Z55" s="66"/>
      <c r="AA55" s="66"/>
    </row>
    <row r="56" spans="2:27" ht="14.45" customHeight="1" x14ac:dyDescent="0.25">
      <c r="B56" s="46"/>
      <c r="C56" s="227"/>
      <c r="D56" s="49"/>
      <c r="E56" s="432" t="s">
        <v>34</v>
      </c>
      <c r="F56" s="432"/>
      <c r="G56" s="432"/>
      <c r="H56" s="432"/>
      <c r="I56" s="432"/>
      <c r="J56" s="144"/>
      <c r="K56" s="321" t="e">
        <f>(1/(($O$48-'Data Tables'!O5)/$K$10))</f>
        <v>#VALUE!</v>
      </c>
      <c r="L56" s="322"/>
      <c r="M56" s="240" t="s">
        <v>17</v>
      </c>
      <c r="N56" s="240"/>
      <c r="O56" s="264"/>
      <c r="P56" s="264"/>
      <c r="Q56" s="240"/>
      <c r="R56" s="49"/>
      <c r="S56" s="320"/>
      <c r="T56" s="66"/>
      <c r="U56" s="66"/>
      <c r="V56" s="66"/>
      <c r="W56" s="66"/>
      <c r="X56" s="66"/>
      <c r="Y56" s="66"/>
      <c r="Z56" s="66"/>
      <c r="AA56" s="66"/>
    </row>
    <row r="57" spans="2:27" ht="14.45" customHeight="1" x14ac:dyDescent="0.25">
      <c r="B57" s="46"/>
      <c r="C57" s="227"/>
      <c r="D57" s="49"/>
      <c r="E57" s="432" t="s">
        <v>245</v>
      </c>
      <c r="F57" s="432"/>
      <c r="G57" s="432"/>
      <c r="H57" s="432"/>
      <c r="I57" s="432"/>
      <c r="J57" s="144"/>
      <c r="K57" s="321" t="e">
        <f>(1/(($O$48-'Data Tables'!O6)/$K$10))</f>
        <v>#VALUE!</v>
      </c>
      <c r="L57" s="322"/>
      <c r="M57" s="240" t="s">
        <v>17</v>
      </c>
      <c r="N57" s="240"/>
      <c r="O57" s="264"/>
      <c r="P57" s="264"/>
      <c r="Q57" s="240"/>
      <c r="R57" s="49"/>
      <c r="S57" s="320"/>
      <c r="T57" s="66"/>
      <c r="U57" s="66"/>
      <c r="V57" s="66"/>
      <c r="W57" s="66"/>
      <c r="X57" s="66"/>
      <c r="Y57" s="66"/>
      <c r="Z57" s="66"/>
      <c r="AA57" s="66"/>
    </row>
    <row r="58" spans="2:27" ht="14.45" customHeight="1" x14ac:dyDescent="0.25">
      <c r="B58" s="46"/>
      <c r="C58" s="227"/>
      <c r="D58" s="49"/>
      <c r="E58" s="432" t="s">
        <v>439</v>
      </c>
      <c r="F58" s="432"/>
      <c r="G58" s="432"/>
      <c r="H58" s="432"/>
      <c r="I58" s="432"/>
      <c r="J58" s="144"/>
      <c r="K58" s="321" t="e">
        <f>(1/(($O$48-'Data Tables'!O4)/$K$10))</f>
        <v>#VALUE!</v>
      </c>
      <c r="L58" s="322"/>
      <c r="M58" s="240" t="s">
        <v>17</v>
      </c>
      <c r="N58" s="240"/>
      <c r="O58" s="264"/>
      <c r="P58" s="264"/>
      <c r="Q58" s="240"/>
      <c r="R58" s="49"/>
      <c r="S58" s="320"/>
      <c r="T58" s="66"/>
      <c r="U58" s="66"/>
      <c r="V58" s="66"/>
      <c r="W58" s="66"/>
      <c r="X58" s="66"/>
      <c r="Y58" s="66"/>
      <c r="Z58" s="66"/>
      <c r="AA58" s="66"/>
    </row>
    <row r="59" spans="2:27" ht="7.5" customHeight="1" x14ac:dyDescent="0.25">
      <c r="B59" s="46"/>
      <c r="C59" s="227"/>
      <c r="D59" s="49"/>
      <c r="E59" s="49"/>
      <c r="F59" s="49"/>
      <c r="G59" s="49"/>
      <c r="H59" s="49"/>
      <c r="I59" s="49"/>
      <c r="J59" s="49"/>
      <c r="K59" s="49"/>
      <c r="L59" s="49"/>
      <c r="M59" s="49"/>
      <c r="N59" s="49"/>
      <c r="O59" s="49"/>
      <c r="P59" s="49"/>
      <c r="Q59" s="49"/>
      <c r="R59" s="49"/>
      <c r="S59" s="320"/>
      <c r="T59" s="66"/>
      <c r="U59" s="66"/>
      <c r="V59" s="66"/>
      <c r="W59" s="66"/>
      <c r="X59" s="66"/>
      <c r="Y59" s="66"/>
      <c r="Z59" s="66"/>
      <c r="AA59" s="66"/>
    </row>
    <row r="60" spans="2:27" ht="15.95" customHeight="1" x14ac:dyDescent="0.25">
      <c r="B60" s="46"/>
      <c r="C60" s="227"/>
      <c r="D60" s="49"/>
      <c r="E60" s="49"/>
      <c r="F60" s="374" t="s">
        <v>248</v>
      </c>
      <c r="G60" s="374"/>
      <c r="H60" s="374"/>
      <c r="I60" s="374"/>
      <c r="J60" s="374"/>
      <c r="K60" s="144" t="s">
        <v>436</v>
      </c>
      <c r="L60" s="144"/>
      <c r="M60" s="49"/>
      <c r="N60" s="49"/>
      <c r="O60" s="49"/>
      <c r="P60" s="49"/>
      <c r="Q60" s="49"/>
      <c r="R60" s="49"/>
      <c r="S60" s="320"/>
      <c r="T60" s="66"/>
      <c r="U60" s="66"/>
      <c r="V60" s="66"/>
      <c r="W60" s="66"/>
      <c r="X60" s="66"/>
      <c r="Y60" s="66"/>
      <c r="Z60" s="66"/>
      <c r="AA60" s="66"/>
    </row>
    <row r="61" spans="2:27" ht="18" customHeight="1" x14ac:dyDescent="0.25">
      <c r="B61" s="46"/>
      <c r="C61" s="227"/>
      <c r="D61" s="49"/>
      <c r="E61" s="49"/>
      <c r="F61" s="49"/>
      <c r="G61" s="374" t="s">
        <v>236</v>
      </c>
      <c r="H61" s="374"/>
      <c r="I61" s="374"/>
      <c r="J61" s="374"/>
      <c r="K61" s="238"/>
      <c r="L61" s="239"/>
      <c r="M61" s="240" t="s">
        <v>81</v>
      </c>
      <c r="N61" s="227"/>
      <c r="O61" s="49"/>
      <c r="P61" s="49"/>
      <c r="Q61" s="49"/>
      <c r="R61" s="49"/>
      <c r="S61" s="320"/>
      <c r="T61" s="66"/>
      <c r="U61" s="66"/>
      <c r="V61" s="66"/>
      <c r="W61" s="66"/>
      <c r="X61" s="66"/>
      <c r="Y61" s="66"/>
      <c r="Z61" s="66"/>
      <c r="AA61" s="66"/>
    </row>
    <row r="62" spans="2:27" ht="54.95" customHeight="1" x14ac:dyDescent="0.25">
      <c r="B62" s="46"/>
      <c r="C62" s="227"/>
      <c r="D62" s="49"/>
      <c r="E62" s="428" t="s">
        <v>438</v>
      </c>
      <c r="F62" s="428"/>
      <c r="G62" s="428"/>
      <c r="H62" s="428"/>
      <c r="I62" s="428"/>
      <c r="J62" s="428"/>
      <c r="K62" s="428"/>
      <c r="L62" s="428"/>
      <c r="M62" s="428"/>
      <c r="N62" s="428"/>
      <c r="O62" s="428"/>
      <c r="P62" s="428"/>
      <c r="Q62" s="428"/>
      <c r="R62" s="428"/>
      <c r="S62" s="320"/>
      <c r="T62" s="66"/>
      <c r="U62" s="66"/>
      <c r="V62" s="66"/>
      <c r="W62" s="66"/>
      <c r="X62" s="66"/>
      <c r="Y62" s="66"/>
      <c r="Z62" s="66"/>
      <c r="AA62" s="66"/>
    </row>
    <row r="63" spans="2:27" ht="14.45" customHeight="1" x14ac:dyDescent="0.25">
      <c r="B63" s="46"/>
      <c r="C63" s="227"/>
      <c r="D63" s="49"/>
      <c r="E63" s="49"/>
      <c r="F63" s="49"/>
      <c r="G63" s="49"/>
      <c r="H63" s="49"/>
      <c r="I63" s="49"/>
      <c r="J63" s="49"/>
      <c r="K63" s="226"/>
      <c r="L63" s="226"/>
      <c r="M63" s="49"/>
      <c r="N63" s="49"/>
      <c r="O63" s="226"/>
      <c r="P63" s="226"/>
      <c r="Q63" s="49"/>
      <c r="R63" s="49"/>
      <c r="S63" s="320"/>
      <c r="T63" s="66"/>
      <c r="U63" s="66"/>
      <c r="V63" s="66"/>
      <c r="W63" s="66"/>
      <c r="X63" s="66"/>
      <c r="Y63" s="66"/>
      <c r="Z63" s="66"/>
      <c r="AA63" s="66"/>
    </row>
    <row r="64" spans="2:27" ht="9.9499999999999993" customHeight="1" x14ac:dyDescent="0.25">
      <c r="B64" s="46"/>
      <c r="C64" s="227"/>
      <c r="D64" s="49"/>
      <c r="E64" s="48" t="s">
        <v>14</v>
      </c>
      <c r="F64" s="49" t="s">
        <v>31</v>
      </c>
      <c r="G64" s="49"/>
      <c r="H64" s="49"/>
      <c r="I64" s="49"/>
      <c r="J64" s="49"/>
      <c r="K64" s="144" t="s">
        <v>2</v>
      </c>
      <c r="L64" s="144"/>
      <c r="M64" s="144" t="s">
        <v>3</v>
      </c>
      <c r="N64" s="144"/>
      <c r="O64" s="144" t="s">
        <v>2</v>
      </c>
      <c r="P64" s="144"/>
      <c r="Q64" s="144"/>
      <c r="R64" s="49"/>
      <c r="S64" s="320"/>
      <c r="T64" s="66"/>
      <c r="U64" s="66"/>
      <c r="V64" s="66"/>
      <c r="W64" s="66"/>
      <c r="X64" s="66"/>
      <c r="Y64" s="66"/>
      <c r="Z64" s="66"/>
      <c r="AA64" s="66"/>
    </row>
    <row r="65" spans="2:27" ht="13.5" customHeight="1" x14ac:dyDescent="0.25">
      <c r="B65" s="46"/>
      <c r="C65" s="227"/>
      <c r="D65" s="49"/>
      <c r="E65" s="48"/>
      <c r="F65" s="49"/>
      <c r="G65" s="49"/>
      <c r="H65" s="49"/>
      <c r="I65" s="49"/>
      <c r="J65" s="49"/>
      <c r="K65" s="144" t="s">
        <v>436</v>
      </c>
      <c r="L65" s="144"/>
      <c r="M65" s="49"/>
      <c r="N65" s="49"/>
      <c r="O65" s="144" t="s">
        <v>436</v>
      </c>
      <c r="P65" s="144"/>
      <c r="Q65" s="144"/>
      <c r="R65" s="49"/>
      <c r="S65" s="320"/>
      <c r="T65" s="66"/>
      <c r="U65" s="323"/>
      <c r="V65" s="66"/>
      <c r="W65" s="66"/>
      <c r="X65" s="66"/>
      <c r="Y65" s="66"/>
      <c r="Z65" s="66"/>
      <c r="AA65" s="66"/>
    </row>
    <row r="66" spans="2:27" ht="18.95" customHeight="1" x14ac:dyDescent="0.25">
      <c r="B66" s="46"/>
      <c r="C66" s="227"/>
      <c r="D66" s="49"/>
      <c r="E66" s="432" t="s">
        <v>32</v>
      </c>
      <c r="F66" s="432"/>
      <c r="G66" s="432"/>
      <c r="H66" s="432"/>
      <c r="I66" s="432"/>
      <c r="J66" s="144"/>
      <c r="K66" s="324"/>
      <c r="L66" s="277"/>
      <c r="M66" s="240" t="s">
        <v>35</v>
      </c>
      <c r="N66" s="240"/>
      <c r="O66" s="321" t="str">
        <f>IF(K66&gt;0,(1/(($O$48-(-IF(K61&gt;0,K61,8)))/K66)),"0")</f>
        <v>0</v>
      </c>
      <c r="P66" s="322"/>
      <c r="Q66" s="240" t="s">
        <v>17</v>
      </c>
      <c r="R66" s="49"/>
      <c r="S66" s="320"/>
      <c r="T66" s="66"/>
      <c r="U66" s="323"/>
      <c r="V66" s="66"/>
      <c r="W66" s="66"/>
      <c r="X66" s="66"/>
      <c r="Y66" s="66"/>
      <c r="Z66" s="66"/>
      <c r="AA66" s="66"/>
    </row>
    <row r="67" spans="2:27" ht="22.5" customHeight="1" x14ac:dyDescent="0.25">
      <c r="B67" s="46"/>
      <c r="C67" s="227"/>
      <c r="D67" s="49"/>
      <c r="E67" s="432" t="s">
        <v>489</v>
      </c>
      <c r="F67" s="432"/>
      <c r="G67" s="432"/>
      <c r="H67" s="432"/>
      <c r="I67" s="432"/>
      <c r="J67" s="144"/>
      <c r="K67" s="324"/>
      <c r="L67" s="277"/>
      <c r="M67" s="240" t="s">
        <v>35</v>
      </c>
      <c r="N67" s="240"/>
      <c r="O67" s="321" t="str">
        <f>IF(K67&gt;0,(1/(($O$48-(IF(K15="Yes",IF('Stage 2'!$K$14="550-575",'Data Tables'!AK39,IF('Stage 2'!$K$14="575-600",'Data Tables'!AK40,IF('Stage 2'!$K$14="600-625",'Data Tables'!AK41,IF('Stage 2'!$K$14="625-650",'Data Tables'!AK42,IF('Stage 2'!$K$14="650-675",'Data Tables'!AK43,IF('Stage 2'!$K$14="675-700",'Data Tables'!AK44,IF('Stage 2'!$K$14="700-750",'Data Tables'!AK45,IF('Stage 2'!$K$14="750-800",'Data Tables'!AK46,IF('Stage 2'!$K$14="800-850",'Data Tables'!AK47,'Data Tables'!AK48))))))))),IF($W$22="550-575",'Data Tables'!AK39,IF($W$22="575-600",'Data Tables'!AK40,IF($W$22="600-625",'Data Tables'!AK41,IF($W$22="625-650",'Data Tables'!AK42,IF($W$22="650-675",'Data Tables'!AK43,IF($W$22="675-700",'Data Tables'!AK44,IF($W$22="700-750",'Data Tables'!AK45,IF($W$22="750-800",'Data Tables'!AK46,IF($W$22="800-850",'Data Tables'!AK47,'Data Tables'!AK48))))))))))))/K67)),"0")</f>
        <v>0</v>
      </c>
      <c r="P67" s="322"/>
      <c r="Q67" s="240" t="s">
        <v>17</v>
      </c>
      <c r="R67" s="49"/>
      <c r="S67" s="320"/>
      <c r="T67" s="66"/>
      <c r="U67" s="66"/>
      <c r="V67" s="66"/>
      <c r="W67" s="66"/>
      <c r="X67" s="66"/>
      <c r="Y67" s="66"/>
      <c r="Z67" s="66"/>
      <c r="AA67" s="66"/>
    </row>
    <row r="68" spans="2:27" ht="13.5" customHeight="1" x14ac:dyDescent="0.25">
      <c r="B68" s="46"/>
      <c r="C68" s="227"/>
      <c r="D68" s="49"/>
      <c r="E68" s="432" t="s">
        <v>400</v>
      </c>
      <c r="F68" s="432"/>
      <c r="G68" s="432"/>
      <c r="H68" s="432"/>
      <c r="I68" s="432"/>
      <c r="J68" s="144"/>
      <c r="K68" s="324"/>
      <c r="L68" s="277"/>
      <c r="M68" s="240" t="s">
        <v>35</v>
      </c>
      <c r="N68" s="240"/>
      <c r="O68" s="321" t="str">
        <f>IF(K68&gt;0,(1/(($O$48-'Data Tables'!O7)/K68)),"0")</f>
        <v>0</v>
      </c>
      <c r="P68" s="322"/>
      <c r="Q68" s="240" t="s">
        <v>17</v>
      </c>
      <c r="R68" s="49"/>
      <c r="S68" s="320"/>
      <c r="T68" s="66"/>
      <c r="U68" s="323"/>
      <c r="V68" s="66"/>
      <c r="W68" s="66"/>
      <c r="X68" s="66"/>
      <c r="Y68" s="66"/>
      <c r="Z68" s="66"/>
      <c r="AA68" s="66"/>
    </row>
    <row r="69" spans="2:27" ht="16.5" customHeight="1" x14ac:dyDescent="0.25">
      <c r="B69" s="46"/>
      <c r="C69" s="227"/>
      <c r="D69" s="49"/>
      <c r="E69" s="432" t="s">
        <v>34</v>
      </c>
      <c r="F69" s="432"/>
      <c r="G69" s="432"/>
      <c r="H69" s="432"/>
      <c r="I69" s="432"/>
      <c r="J69" s="144"/>
      <c r="K69" s="324"/>
      <c r="L69" s="277"/>
      <c r="M69" s="240" t="s">
        <v>35</v>
      </c>
      <c r="N69" s="240"/>
      <c r="O69" s="321" t="str">
        <f>IF(K69&gt;0,(1/(($O$48-'Data Tables'!O5)/K69)),"0")</f>
        <v>0</v>
      </c>
      <c r="P69" s="322"/>
      <c r="Q69" s="240" t="s">
        <v>17</v>
      </c>
      <c r="R69" s="49"/>
      <c r="S69" s="320"/>
      <c r="T69" s="66"/>
      <c r="U69" s="66"/>
      <c r="V69" s="66"/>
      <c r="W69" s="66"/>
      <c r="X69" s="66"/>
      <c r="Y69" s="66"/>
      <c r="Z69" s="66"/>
      <c r="AA69" s="66"/>
    </row>
    <row r="70" spans="2:27" ht="16.5" customHeight="1" x14ac:dyDescent="0.25">
      <c r="B70" s="46"/>
      <c r="C70" s="227"/>
      <c r="D70" s="49"/>
      <c r="E70" s="432" t="s">
        <v>245</v>
      </c>
      <c r="F70" s="432"/>
      <c r="G70" s="432"/>
      <c r="H70" s="432"/>
      <c r="I70" s="432"/>
      <c r="J70" s="144"/>
      <c r="K70" s="324"/>
      <c r="L70" s="277"/>
      <c r="M70" s="240" t="s">
        <v>35</v>
      </c>
      <c r="N70" s="240"/>
      <c r="O70" s="321" t="str">
        <f>IF(K70&gt;0,(1/(($O$48-'Data Tables'!O6)/K70)),"0")</f>
        <v>0</v>
      </c>
      <c r="P70" s="322"/>
      <c r="Q70" s="240" t="s">
        <v>17</v>
      </c>
      <c r="R70" s="49"/>
      <c r="S70" s="320"/>
      <c r="T70" s="66"/>
      <c r="U70" s="66"/>
      <c r="V70" s="66"/>
      <c r="W70" s="66"/>
      <c r="X70" s="66"/>
      <c r="Y70" s="66"/>
      <c r="Z70" s="66"/>
      <c r="AA70" s="66"/>
    </row>
    <row r="71" spans="2:27" ht="16.5" customHeight="1" x14ac:dyDescent="0.25">
      <c r="B71" s="46"/>
      <c r="C71" s="227"/>
      <c r="D71" s="49"/>
      <c r="E71" s="432" t="s">
        <v>439</v>
      </c>
      <c r="F71" s="432"/>
      <c r="G71" s="432"/>
      <c r="H71" s="432"/>
      <c r="I71" s="432"/>
      <c r="J71" s="144"/>
      <c r="K71" s="324"/>
      <c r="L71" s="277"/>
      <c r="M71" s="240" t="s">
        <v>35</v>
      </c>
      <c r="N71" s="240"/>
      <c r="O71" s="321" t="str">
        <f>IF(K71&gt;0,(1/(($O$48-'Data Tables'!O4)/K71)),"0")</f>
        <v>0</v>
      </c>
      <c r="P71" s="322"/>
      <c r="Q71" s="240" t="s">
        <v>17</v>
      </c>
      <c r="R71" s="49"/>
      <c r="S71" s="320"/>
      <c r="T71" s="66"/>
      <c r="U71" s="66"/>
      <c r="V71" s="66"/>
      <c r="W71" s="66"/>
      <c r="X71" s="66"/>
      <c r="Y71" s="66"/>
      <c r="Z71" s="66"/>
      <c r="AA71" s="66"/>
    </row>
    <row r="72" spans="2:27" ht="21.95" customHeight="1" x14ac:dyDescent="0.25">
      <c r="B72" s="46"/>
      <c r="C72" s="227"/>
      <c r="D72" s="49"/>
      <c r="E72" s="49"/>
      <c r="F72" s="49"/>
      <c r="G72" s="49"/>
      <c r="H72" s="49"/>
      <c r="I72" s="49"/>
      <c r="J72" s="49"/>
      <c r="K72" s="49"/>
      <c r="L72" s="49"/>
      <c r="M72" s="240"/>
      <c r="N72" s="240"/>
      <c r="O72" s="325"/>
      <c r="P72" s="325"/>
      <c r="Q72" s="240"/>
      <c r="R72" s="49"/>
      <c r="S72" s="320"/>
      <c r="T72" s="66"/>
      <c r="U72" s="66"/>
      <c r="V72" s="66"/>
      <c r="W72" s="66"/>
      <c r="X72" s="66"/>
      <c r="Y72" s="66"/>
      <c r="Z72" s="66"/>
      <c r="AA72" s="66"/>
    </row>
    <row r="73" spans="2:27" ht="15.6" customHeight="1" x14ac:dyDescent="0.25">
      <c r="B73" s="46"/>
      <c r="C73" s="227"/>
      <c r="D73" s="49"/>
      <c r="E73" s="49"/>
      <c r="F73" s="382" t="s">
        <v>64</v>
      </c>
      <c r="G73" s="382"/>
      <c r="H73" s="382"/>
      <c r="I73" s="382"/>
      <c r="J73" s="49"/>
      <c r="K73" s="273" t="e">
        <f>K10-(SUM(K66:K71))</f>
        <v>#VALUE!</v>
      </c>
      <c r="L73" s="269"/>
      <c r="M73" s="246" t="s">
        <v>15</v>
      </c>
      <c r="N73" s="246"/>
      <c r="O73" s="290">
        <f>SUM(O66:O71)</f>
        <v>0</v>
      </c>
      <c r="P73" s="326"/>
      <c r="Q73" s="246" t="s">
        <v>17</v>
      </c>
      <c r="R73" s="49"/>
      <c r="S73" s="320"/>
      <c r="T73" s="66"/>
      <c r="U73" s="66"/>
      <c r="V73" s="66"/>
      <c r="W73" s="66"/>
      <c r="X73" s="66"/>
      <c r="Y73" s="66"/>
      <c r="Z73" s="66"/>
      <c r="AA73" s="66"/>
    </row>
    <row r="74" spans="2:27" ht="18" customHeight="1" x14ac:dyDescent="0.25">
      <c r="B74" s="46"/>
      <c r="C74" s="227"/>
      <c r="D74" s="49"/>
      <c r="E74" s="49"/>
      <c r="F74" s="49"/>
      <c r="G74" s="49"/>
      <c r="H74" s="49"/>
      <c r="I74" s="49"/>
      <c r="J74" s="49"/>
      <c r="K74" s="49"/>
      <c r="L74" s="49"/>
      <c r="M74" s="49"/>
      <c r="N74" s="49"/>
      <c r="O74" s="49"/>
      <c r="P74" s="49"/>
      <c r="Q74" s="49"/>
      <c r="R74" s="49"/>
      <c r="S74" s="320"/>
      <c r="T74" s="66"/>
      <c r="U74" s="66"/>
      <c r="V74" s="66"/>
      <c r="W74" s="66"/>
      <c r="X74" s="66"/>
      <c r="Y74" s="66"/>
      <c r="Z74" s="66"/>
      <c r="AA74" s="66"/>
    </row>
    <row r="75" spans="2:27" ht="69.599999999999994" customHeight="1" x14ac:dyDescent="0.25">
      <c r="B75" s="46"/>
      <c r="C75" s="227"/>
      <c r="D75" s="49"/>
      <c r="E75" s="428" t="s">
        <v>441</v>
      </c>
      <c r="F75" s="428"/>
      <c r="G75" s="428"/>
      <c r="H75" s="428"/>
      <c r="I75" s="428"/>
      <c r="J75" s="428"/>
      <c r="K75" s="428"/>
      <c r="L75" s="428"/>
      <c r="M75" s="428"/>
      <c r="N75" s="428"/>
      <c r="O75" s="428"/>
      <c r="P75" s="428"/>
      <c r="Q75" s="428"/>
      <c r="R75" s="428"/>
      <c r="S75" s="320"/>
      <c r="T75" s="66"/>
      <c r="U75" s="66"/>
      <c r="V75" s="66"/>
      <c r="W75" s="66"/>
      <c r="X75" s="66"/>
      <c r="Y75" s="66"/>
      <c r="Z75" s="66"/>
      <c r="AA75" s="66"/>
    </row>
    <row r="76" spans="2:27" ht="15.75" x14ac:dyDescent="0.25">
      <c r="B76" s="46"/>
      <c r="C76" s="227"/>
      <c r="D76" s="49"/>
      <c r="E76" s="49"/>
      <c r="F76" s="49"/>
      <c r="G76" s="49"/>
      <c r="H76" s="49"/>
      <c r="I76" s="49"/>
      <c r="J76" s="49"/>
      <c r="K76" s="49"/>
      <c r="L76" s="49"/>
      <c r="M76" s="49"/>
      <c r="N76" s="49"/>
      <c r="O76" s="49"/>
      <c r="P76" s="49"/>
      <c r="Q76" s="49"/>
      <c r="R76" s="49"/>
      <c r="S76" s="320"/>
      <c r="T76" s="66"/>
      <c r="U76" s="66"/>
      <c r="V76" s="66"/>
      <c r="W76" s="66"/>
      <c r="X76" s="66"/>
      <c r="Y76" s="66"/>
      <c r="Z76" s="66"/>
      <c r="AA76" s="66"/>
    </row>
    <row r="77" spans="2:27" ht="15.75" x14ac:dyDescent="0.25">
      <c r="B77" s="46"/>
      <c r="C77" s="227"/>
      <c r="D77" s="49"/>
      <c r="E77" s="48" t="s">
        <v>27</v>
      </c>
      <c r="F77" s="49" t="s">
        <v>31</v>
      </c>
      <c r="G77" s="49"/>
      <c r="H77" s="49"/>
      <c r="I77" s="49"/>
      <c r="J77" s="49"/>
      <c r="K77" s="144" t="s">
        <v>2</v>
      </c>
      <c r="L77" s="144"/>
      <c r="M77" s="144" t="s">
        <v>3</v>
      </c>
      <c r="N77" s="144"/>
      <c r="O77" s="144" t="s">
        <v>2</v>
      </c>
      <c r="P77" s="144"/>
      <c r="Q77" s="144"/>
      <c r="R77" s="49"/>
      <c r="S77" s="320"/>
      <c r="T77" s="66"/>
      <c r="U77" s="66"/>
      <c r="V77" s="66"/>
      <c r="W77" s="66"/>
      <c r="X77" s="66"/>
      <c r="Y77" s="66"/>
      <c r="Z77" s="66"/>
      <c r="AA77" s="66"/>
    </row>
    <row r="78" spans="2:27" ht="15.75" x14ac:dyDescent="0.25">
      <c r="B78" s="46"/>
      <c r="C78" s="227"/>
      <c r="D78" s="49"/>
      <c r="E78" s="48"/>
      <c r="F78" s="49"/>
      <c r="G78" s="49"/>
      <c r="H78" s="49"/>
      <c r="I78" s="49"/>
      <c r="J78" s="49"/>
      <c r="K78" s="144" t="s">
        <v>436</v>
      </c>
      <c r="L78" s="49"/>
      <c r="M78" s="49"/>
      <c r="N78" s="49"/>
      <c r="O78" s="144" t="s">
        <v>436</v>
      </c>
      <c r="P78" s="144"/>
      <c r="Q78" s="144"/>
      <c r="R78" s="49"/>
      <c r="S78" s="320"/>
      <c r="T78" s="66"/>
      <c r="U78" s="66"/>
      <c r="V78" s="66"/>
      <c r="W78" s="66"/>
      <c r="X78" s="66"/>
      <c r="Y78" s="66"/>
      <c r="Z78" s="66"/>
      <c r="AA78" s="66"/>
    </row>
    <row r="79" spans="2:27" ht="15.75" x14ac:dyDescent="0.25">
      <c r="B79" s="46"/>
      <c r="C79" s="227"/>
      <c r="D79" s="49"/>
      <c r="E79" s="432" t="s">
        <v>32</v>
      </c>
      <c r="F79" s="432"/>
      <c r="G79" s="432"/>
      <c r="H79" s="432"/>
      <c r="I79" s="432"/>
      <c r="J79" s="144"/>
      <c r="K79" s="282"/>
      <c r="L79" s="327"/>
      <c r="M79" s="240" t="s">
        <v>61</v>
      </c>
      <c r="N79" s="240"/>
      <c r="O79" s="268" t="e">
        <f>K79*($O$48-(-IF(K61&gt;0,K61,8)))</f>
        <v>#VALUE!</v>
      </c>
      <c r="P79" s="264"/>
      <c r="Q79" s="240" t="s">
        <v>35</v>
      </c>
      <c r="R79" s="49"/>
      <c r="S79" s="320"/>
      <c r="T79" s="66"/>
      <c r="U79" s="66"/>
      <c r="V79" s="66"/>
      <c r="W79" s="66"/>
      <c r="X79" s="66"/>
      <c r="Y79" s="66"/>
      <c r="Z79" s="66"/>
      <c r="AA79" s="66"/>
    </row>
    <row r="80" spans="2:27" ht="15.75" x14ac:dyDescent="0.25">
      <c r="B80" s="46"/>
      <c r="C80" s="227"/>
      <c r="D80" s="49"/>
      <c r="E80" s="432" t="s">
        <v>489</v>
      </c>
      <c r="F80" s="432"/>
      <c r="G80" s="432"/>
      <c r="H80" s="432"/>
      <c r="I80" s="432"/>
      <c r="J80" s="144"/>
      <c r="K80" s="282"/>
      <c r="L80" s="327"/>
      <c r="M80" s="240" t="s">
        <v>61</v>
      </c>
      <c r="N80" s="240"/>
      <c r="O80" s="268" t="e">
        <f>K80*($O$48-(IF(K15="Yes",IF('Stage 2'!$K$14="550-575",'Data Tables'!AK39,IF('Stage 2'!$K$14="575-600",'Data Tables'!AK40,IF('Stage 2'!$K$14="600-625",'Data Tables'!AK41,IF('Stage 2'!$K$14="625-650",'Data Tables'!AK42,IF('Stage 2'!$K$14="650-675",'Data Tables'!AK43,IF('Stage 2'!$K$14="675-700",'Data Tables'!AK44,IF('Stage 2'!$K$14="700-750",'Data Tables'!AK45,IF('Stage 2'!$K$14="750-800",'Data Tables'!AK46,IF('Stage 2'!$K$14="800-850",'Data Tables'!AK47,'Data Tables'!AK48))))))))),IF($W$22="550-575",'Data Tables'!AK39,IF($W$22="575-600",'Data Tables'!AK40,IF($W$22="600-625",'Data Tables'!AK41,IF($W$22="625-650",'Data Tables'!AK42,IF($W$22="650-675",'Data Tables'!AK43,IF($W$22="675-700",'Data Tables'!AK44,IF($W$22="700-750",'Data Tables'!AK45,IF($W$22="750-800",'Data Tables'!AK46,IF($W$22="800-850",'Data Tables'!AK47,'Data Tables'!AK48))))))))))))</f>
        <v>#VALUE!</v>
      </c>
      <c r="P80" s="264"/>
      <c r="Q80" s="240" t="s">
        <v>35</v>
      </c>
      <c r="R80" s="49"/>
      <c r="S80" s="320"/>
      <c r="T80" s="66"/>
      <c r="U80" s="66"/>
      <c r="V80" s="66"/>
      <c r="W80" s="66"/>
      <c r="X80" s="66"/>
      <c r="Y80" s="66"/>
      <c r="Z80" s="66"/>
      <c r="AA80" s="66"/>
    </row>
    <row r="81" spans="2:27" ht="15.75" x14ac:dyDescent="0.25">
      <c r="B81" s="46"/>
      <c r="C81" s="227"/>
      <c r="D81" s="49"/>
      <c r="E81" s="432" t="s">
        <v>400</v>
      </c>
      <c r="F81" s="432"/>
      <c r="G81" s="432"/>
      <c r="H81" s="432"/>
      <c r="I81" s="432"/>
      <c r="J81" s="144"/>
      <c r="K81" s="282"/>
      <c r="L81" s="327"/>
      <c r="M81" s="240" t="s">
        <v>61</v>
      </c>
      <c r="N81" s="240"/>
      <c r="O81" s="268" t="e">
        <f>K81*($O$48-'Data Tables'!O7)</f>
        <v>#VALUE!</v>
      </c>
      <c r="P81" s="264"/>
      <c r="Q81" s="240" t="s">
        <v>35</v>
      </c>
      <c r="R81" s="49"/>
      <c r="S81" s="320"/>
      <c r="T81" s="66"/>
      <c r="U81" s="66"/>
      <c r="V81" s="66"/>
      <c r="W81" s="66"/>
      <c r="X81" s="66"/>
      <c r="Y81" s="66"/>
      <c r="Z81" s="66"/>
      <c r="AA81" s="66"/>
    </row>
    <row r="82" spans="2:27" ht="15.75" x14ac:dyDescent="0.25">
      <c r="B82" s="46"/>
      <c r="C82" s="227"/>
      <c r="D82" s="49"/>
      <c r="E82" s="432" t="s">
        <v>34</v>
      </c>
      <c r="F82" s="432"/>
      <c r="G82" s="432"/>
      <c r="H82" s="432"/>
      <c r="I82" s="432"/>
      <c r="J82" s="144"/>
      <c r="K82" s="282"/>
      <c r="L82" s="327"/>
      <c r="M82" s="240" t="s">
        <v>61</v>
      </c>
      <c r="N82" s="240"/>
      <c r="O82" s="268" t="e">
        <f>K82*($O$48-'Data Tables'!O5)</f>
        <v>#VALUE!</v>
      </c>
      <c r="P82" s="264"/>
      <c r="Q82" s="240" t="s">
        <v>35</v>
      </c>
      <c r="R82" s="49"/>
      <c r="S82" s="320"/>
      <c r="T82" s="66"/>
      <c r="U82" s="66"/>
      <c r="V82" s="66"/>
      <c r="W82" s="66"/>
      <c r="X82" s="66"/>
      <c r="Y82" s="66"/>
      <c r="Z82" s="66"/>
      <c r="AA82" s="66"/>
    </row>
    <row r="83" spans="2:27" ht="15.75" x14ac:dyDescent="0.25">
      <c r="B83" s="46"/>
      <c r="C83" s="227"/>
      <c r="D83" s="49"/>
      <c r="E83" s="432" t="s">
        <v>245</v>
      </c>
      <c r="F83" s="432"/>
      <c r="G83" s="432"/>
      <c r="H83" s="432"/>
      <c r="I83" s="432"/>
      <c r="J83" s="144"/>
      <c r="K83" s="282"/>
      <c r="L83" s="327"/>
      <c r="M83" s="240" t="s">
        <v>61</v>
      </c>
      <c r="N83" s="240"/>
      <c r="O83" s="268" t="e">
        <f>K83*($O$48-'Data Tables'!O6)</f>
        <v>#VALUE!</v>
      </c>
      <c r="P83" s="264"/>
      <c r="Q83" s="240" t="s">
        <v>35</v>
      </c>
      <c r="R83" s="49"/>
      <c r="S83" s="320"/>
      <c r="T83" s="66"/>
      <c r="U83" s="66"/>
      <c r="V83" s="66"/>
      <c r="W83" s="66"/>
      <c r="X83" s="66"/>
      <c r="Y83" s="66"/>
      <c r="Z83" s="66"/>
      <c r="AA83" s="66"/>
    </row>
    <row r="84" spans="2:27" ht="26.1" customHeight="1" x14ac:dyDescent="0.25">
      <c r="B84" s="46"/>
      <c r="C84" s="227"/>
      <c r="D84" s="49"/>
      <c r="E84" s="432" t="s">
        <v>439</v>
      </c>
      <c r="F84" s="432"/>
      <c r="G84" s="432"/>
      <c r="H84" s="432"/>
      <c r="I84" s="432"/>
      <c r="J84" s="144"/>
      <c r="K84" s="282"/>
      <c r="L84" s="327"/>
      <c r="M84" s="240" t="s">
        <v>61</v>
      </c>
      <c r="N84" s="240"/>
      <c r="O84" s="268" t="e">
        <f>K84*($O$48-'Data Tables'!O4)</f>
        <v>#VALUE!</v>
      </c>
      <c r="P84" s="264"/>
      <c r="Q84" s="240" t="s">
        <v>35</v>
      </c>
      <c r="R84" s="49"/>
      <c r="S84" s="320"/>
      <c r="T84" s="66"/>
      <c r="U84" s="66"/>
      <c r="V84" s="66"/>
      <c r="W84" s="66"/>
      <c r="X84" s="66"/>
      <c r="Y84" s="66"/>
      <c r="Z84" s="66"/>
      <c r="AA84" s="66"/>
    </row>
    <row r="85" spans="2:27" ht="30" customHeight="1" x14ac:dyDescent="0.25">
      <c r="B85" s="46"/>
      <c r="C85" s="227"/>
      <c r="D85" s="49"/>
      <c r="E85" s="49"/>
      <c r="F85" s="49"/>
      <c r="G85" s="49"/>
      <c r="H85" s="49"/>
      <c r="I85" s="49"/>
      <c r="J85" s="49"/>
      <c r="K85" s="328"/>
      <c r="L85" s="328"/>
      <c r="M85" s="240"/>
      <c r="N85" s="240"/>
      <c r="O85" s="240"/>
      <c r="P85" s="240"/>
      <c r="Q85" s="240"/>
      <c r="R85" s="49"/>
      <c r="S85" s="320"/>
      <c r="T85" s="66"/>
      <c r="U85" s="66"/>
      <c r="V85" s="66"/>
      <c r="W85" s="66"/>
      <c r="X85" s="66"/>
      <c r="Y85" s="66"/>
      <c r="Z85" s="66"/>
      <c r="AA85" s="66"/>
    </row>
    <row r="86" spans="2:27" ht="29.45" customHeight="1" x14ac:dyDescent="0.25">
      <c r="B86" s="46"/>
      <c r="C86" s="227"/>
      <c r="D86" s="49"/>
      <c r="E86" s="49"/>
      <c r="F86" s="382" t="s">
        <v>64</v>
      </c>
      <c r="G86" s="382"/>
      <c r="H86" s="382"/>
      <c r="I86" s="382"/>
      <c r="J86" s="49"/>
      <c r="K86" s="290">
        <f>(SUM(K79:K84))</f>
        <v>0</v>
      </c>
      <c r="L86" s="326"/>
      <c r="M86" s="246" t="s">
        <v>61</v>
      </c>
      <c r="N86" s="246"/>
      <c r="O86" s="273" t="e">
        <f>K10-(SUM(O79:O84))</f>
        <v>#VALUE!</v>
      </c>
      <c r="P86" s="269"/>
      <c r="Q86" s="246" t="s">
        <v>15</v>
      </c>
      <c r="R86" s="49"/>
      <c r="S86" s="320"/>
      <c r="T86" s="66"/>
      <c r="U86" s="66"/>
      <c r="V86" s="66"/>
      <c r="W86" s="66"/>
      <c r="X86" s="66"/>
      <c r="Y86" s="66"/>
      <c r="Z86" s="66"/>
      <c r="AA86" s="66"/>
    </row>
    <row r="87" spans="2:27" ht="15" customHeight="1" x14ac:dyDescent="0.25">
      <c r="B87" s="46"/>
      <c r="C87" s="227"/>
      <c r="D87" s="49"/>
      <c r="E87" s="49"/>
      <c r="F87" s="49"/>
      <c r="G87" s="49"/>
      <c r="H87" s="49"/>
      <c r="I87" s="49"/>
      <c r="J87" s="49"/>
      <c r="K87" s="49"/>
      <c r="L87" s="49"/>
      <c r="M87" s="49"/>
      <c r="N87" s="49"/>
      <c r="O87" s="49"/>
      <c r="P87" s="49"/>
      <c r="Q87" s="49"/>
      <c r="R87" s="49"/>
      <c r="S87" s="320"/>
      <c r="T87" s="66"/>
      <c r="U87" s="66"/>
      <c r="V87" s="66"/>
      <c r="W87" s="66"/>
      <c r="X87" s="66"/>
      <c r="Y87" s="66"/>
      <c r="Z87" s="66"/>
      <c r="AA87" s="66"/>
    </row>
    <row r="88" spans="2:27" ht="44.1" customHeight="1" thickBot="1" x14ac:dyDescent="0.3">
      <c r="B88" s="50"/>
      <c r="C88" s="271"/>
      <c r="D88" s="318"/>
      <c r="E88" s="448" t="s">
        <v>440</v>
      </c>
      <c r="F88" s="448"/>
      <c r="G88" s="448"/>
      <c r="H88" s="448"/>
      <c r="I88" s="448"/>
      <c r="J88" s="448"/>
      <c r="K88" s="448"/>
      <c r="L88" s="448"/>
      <c r="M88" s="448"/>
      <c r="N88" s="448"/>
      <c r="O88" s="448"/>
      <c r="P88" s="448"/>
      <c r="Q88" s="448"/>
      <c r="R88" s="448"/>
      <c r="S88" s="329"/>
      <c r="T88" s="66"/>
      <c r="U88" s="66"/>
      <c r="V88" s="66"/>
      <c r="W88" s="66"/>
      <c r="X88" s="66"/>
      <c r="Y88" s="66"/>
      <c r="Z88" s="66"/>
      <c r="AA88" s="66"/>
    </row>
    <row r="89" spans="2:27" ht="18" customHeight="1" x14ac:dyDescent="0.2">
      <c r="B89" s="40"/>
      <c r="C89" s="40"/>
      <c r="D89" s="40"/>
      <c r="E89" s="40"/>
      <c r="F89" s="40"/>
      <c r="G89" s="40"/>
      <c r="H89" s="40"/>
      <c r="I89" s="40"/>
      <c r="J89" s="40"/>
      <c r="K89" s="40"/>
      <c r="L89" s="40"/>
      <c r="M89" s="40"/>
      <c r="N89" s="40"/>
      <c r="O89" s="40"/>
      <c r="P89" s="40"/>
      <c r="Q89" s="40"/>
      <c r="R89" s="40"/>
      <c r="S89" s="40"/>
      <c r="T89" s="40"/>
      <c r="U89" s="40"/>
      <c r="V89" s="40"/>
      <c r="W89" s="40"/>
      <c r="X89" s="40"/>
      <c r="Y89" s="40"/>
      <c r="Z89" s="40"/>
      <c r="AA89" s="40"/>
    </row>
    <row r="90" spans="2:27" x14ac:dyDescent="0.2"/>
  </sheetData>
  <sheetProtection algorithmName="SHA-512" hashValue="KyntuljIdIP8NDLot0bF7rjCWRwP/cvYmrIDT6nYvrm7pjsbVNcgKbBm8wWr3YhtdLzo8uXt1mYkyJiGzHKUrw==" saltValue="KBCX7zDknUTb8Y06SU0gpQ==" spinCount="100000" sheet="1" objects="1" scenarios="1" selectLockedCells="1"/>
  <mergeCells count="83">
    <mergeCell ref="E82:I82"/>
    <mergeCell ref="E83:I83"/>
    <mergeCell ref="E84:I84"/>
    <mergeCell ref="F86:I86"/>
    <mergeCell ref="E88:R88"/>
    <mergeCell ref="E81:I81"/>
    <mergeCell ref="E62:R62"/>
    <mergeCell ref="E66:I66"/>
    <mergeCell ref="E67:I67"/>
    <mergeCell ref="E68:I68"/>
    <mergeCell ref="E69:I69"/>
    <mergeCell ref="E70:I70"/>
    <mergeCell ref="E71:I71"/>
    <mergeCell ref="F73:I73"/>
    <mergeCell ref="E75:R75"/>
    <mergeCell ref="E79:I79"/>
    <mergeCell ref="E80:I80"/>
    <mergeCell ref="G61:J61"/>
    <mergeCell ref="E45:I45"/>
    <mergeCell ref="R45:V45"/>
    <mergeCell ref="I48:N48"/>
    <mergeCell ref="F51:J51"/>
    <mergeCell ref="E53:I53"/>
    <mergeCell ref="E54:I54"/>
    <mergeCell ref="E55:I55"/>
    <mergeCell ref="E56:I56"/>
    <mergeCell ref="E57:I57"/>
    <mergeCell ref="E58:I58"/>
    <mergeCell ref="F60:J60"/>
    <mergeCell ref="E41:I41"/>
    <mergeCell ref="R41:V41"/>
    <mergeCell ref="E42:I42"/>
    <mergeCell ref="R42:V42"/>
    <mergeCell ref="E43:I43"/>
    <mergeCell ref="R43:V43"/>
    <mergeCell ref="E39:I39"/>
    <mergeCell ref="R39:V39"/>
    <mergeCell ref="E40:I40"/>
    <mergeCell ref="R40:V40"/>
    <mergeCell ref="E36:I36"/>
    <mergeCell ref="R36:V36"/>
    <mergeCell ref="E37:I37"/>
    <mergeCell ref="R37:V37"/>
    <mergeCell ref="E38:I38"/>
    <mergeCell ref="R38:V38"/>
    <mergeCell ref="E33:I33"/>
    <mergeCell ref="R33:V33"/>
    <mergeCell ref="E34:I34"/>
    <mergeCell ref="R34:V34"/>
    <mergeCell ref="E35:I35"/>
    <mergeCell ref="R35:V35"/>
    <mergeCell ref="E30:I30"/>
    <mergeCell ref="R30:V30"/>
    <mergeCell ref="E31:I31"/>
    <mergeCell ref="R31:V31"/>
    <mergeCell ref="E32:I32"/>
    <mergeCell ref="R32:V32"/>
    <mergeCell ref="E27:I27"/>
    <mergeCell ref="R27:V27"/>
    <mergeCell ref="E28:I28"/>
    <mergeCell ref="R28:V28"/>
    <mergeCell ref="E29:I29"/>
    <mergeCell ref="R29:V29"/>
    <mergeCell ref="E26:I26"/>
    <mergeCell ref="R26:V26"/>
    <mergeCell ref="E17:N17"/>
    <mergeCell ref="R17:X17"/>
    <mergeCell ref="R18:X18"/>
    <mergeCell ref="F19:J19"/>
    <mergeCell ref="R20:V20"/>
    <mergeCell ref="F21:J21"/>
    <mergeCell ref="R21:V21"/>
    <mergeCell ref="R22:V22"/>
    <mergeCell ref="R23:V23"/>
    <mergeCell ref="Q24:AA24"/>
    <mergeCell ref="F25:J25"/>
    <mergeCell ref="R25:V25"/>
    <mergeCell ref="F3:R3"/>
    <mergeCell ref="E4:R6"/>
    <mergeCell ref="F8:J8"/>
    <mergeCell ref="F13:J13"/>
    <mergeCell ref="K15:L15"/>
    <mergeCell ref="R15:V15"/>
  </mergeCells>
  <dataValidations count="4">
    <dataValidation type="list" allowBlank="1" showInputMessage="1" showErrorMessage="1" sqref="W21" xr:uid="{B49FD6C7-224E-4222-A868-086971030D8F}">
      <formula1>"Freely draining, Impermeable - drained for arable, Impermeable - drained for arable and grassland"</formula1>
    </dataValidation>
    <dataValidation type="list" allowBlank="1" showInputMessage="1" showErrorMessage="1" sqref="W20" xr:uid="{D260B993-EEB9-40C1-AFB4-C36DB73C41C8}">
      <formula1>"Wensum, Yare, Bure"</formula1>
    </dataValidation>
    <dataValidation type="list" allowBlank="1" showInputMessage="1" showErrorMessage="1" sqref="W15 M21:M23 K15:L15 W23 M26:M43 W26:W43" xr:uid="{937B1339-9289-4C63-AD15-93A3A764D7A0}">
      <formula1>"Yes,No"</formula1>
    </dataValidation>
    <dataValidation type="list" allowBlank="1" showInputMessage="1" showErrorMessage="1" sqref="W22" xr:uid="{95015AFC-28B1-401D-985F-7236BD33279D}">
      <formula1>"550-575,575-600,600-625,625-650,650-675,675-700,700-750,750-800,800-850,850-900"</formula1>
    </dataValidation>
  </dataValidations>
  <hyperlinks>
    <hyperlink ref="Q24:AA24" location="Help!C98" display="Note: Identify the soil drainage type from the Viewer, and use the criteria table in the Help tab to identify if the soil is either permeable or impermeable" xr:uid="{E9547894-FB5D-43DE-B369-877EBCE46834}"/>
  </hyperlinks>
  <pageMargins left="0.25" right="0.25" top="0.75" bottom="0.75" header="0.3" footer="0.3"/>
  <pageSetup paperSize="9" scale="48" orientation="portrait" horizontalDpi="360" verticalDpi="360" r:id="rId1"/>
  <headerFooter>
    <oddHeader>&amp;LPhosphate Budget Calculator&amp;CStage 5</oddHeader>
    <oddFooter>&amp;LVersion 2.2&amp;R&amp;D</oddFooter>
  </headerFooter>
  <customProperties>
    <customPr name="SSC_SHEET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CA1E2-E074-4D63-A2D9-1D11183CB0E6}">
  <sheetPr>
    <tabColor theme="7" tint="0.79998168889431442"/>
    <pageSetUpPr fitToPage="1"/>
  </sheetPr>
  <dimension ref="A1:BA98"/>
  <sheetViews>
    <sheetView zoomScale="85" zoomScaleNormal="85" workbookViewId="0">
      <selection activeCell="K16" sqref="K16:M16"/>
    </sheetView>
  </sheetViews>
  <sheetFormatPr defaultRowHeight="12.75" zeroHeight="1" x14ac:dyDescent="0.2"/>
  <cols>
    <col min="2" max="3" width="0.85546875" customWidth="1"/>
    <col min="4" max="4" width="2.28515625" customWidth="1"/>
    <col min="5" max="5" width="11.7109375" customWidth="1"/>
    <col min="7" max="7" width="10" customWidth="1"/>
    <col min="8" max="8" width="10.28515625" customWidth="1"/>
    <col min="9" max="9" width="14" customWidth="1"/>
    <col min="10" max="10" width="13.5703125" customWidth="1"/>
    <col min="11" max="11" width="10" customWidth="1"/>
    <col min="12" max="12" width="2.28515625" customWidth="1"/>
    <col min="13" max="13" width="10" customWidth="1"/>
    <col min="14" max="14" width="12.7109375" customWidth="1"/>
    <col min="15" max="15" width="16" customWidth="1"/>
    <col min="16" max="16" width="10.5703125" customWidth="1"/>
    <col min="17" max="17" width="2.28515625" customWidth="1"/>
    <col min="18" max="18" width="10.140625" customWidth="1"/>
    <col min="19" max="19" width="11.42578125" customWidth="1"/>
    <col min="20" max="20" width="5.42578125" customWidth="1"/>
    <col min="21" max="21" width="0.85546875" customWidth="1"/>
    <col min="22" max="22" width="12.28515625" customWidth="1"/>
    <col min="24" max="24" width="25.5703125" customWidth="1"/>
    <col min="25" max="25" width="12.140625" customWidth="1"/>
    <col min="26" max="26" width="11.85546875" customWidth="1"/>
    <col min="27" max="27" width="11.140625" hidden="1" customWidth="1"/>
    <col min="28" max="28" width="19.85546875" hidden="1" customWidth="1"/>
    <col min="29" max="29" width="2.140625" customWidth="1"/>
    <col min="34" max="34" width="8.7109375" customWidth="1"/>
  </cols>
  <sheetData>
    <row r="1" spans="1:29" ht="9" customHeight="1" thickBot="1" x14ac:dyDescent="0.25">
      <c r="A1" s="40" t="s">
        <v>567</v>
      </c>
    </row>
    <row r="2" spans="1:29" ht="9" customHeight="1" x14ac:dyDescent="0.25">
      <c r="B2" s="43"/>
      <c r="C2" s="44"/>
      <c r="D2" s="309"/>
      <c r="E2" s="309"/>
      <c r="F2" s="309"/>
      <c r="G2" s="309"/>
      <c r="H2" s="309"/>
      <c r="I2" s="309"/>
      <c r="J2" s="309"/>
      <c r="K2" s="309"/>
      <c r="L2" s="309"/>
      <c r="M2" s="309"/>
      <c r="N2" s="309"/>
      <c r="O2" s="309"/>
      <c r="P2" s="309"/>
      <c r="Q2" s="309"/>
      <c r="R2" s="309"/>
      <c r="S2" s="309"/>
      <c r="T2" s="309"/>
      <c r="U2" s="310"/>
      <c r="V2" s="229"/>
      <c r="W2" s="229"/>
      <c r="X2" s="229"/>
      <c r="Y2" s="229"/>
      <c r="Z2" s="229"/>
      <c r="AA2" s="229"/>
      <c r="AB2" s="229"/>
      <c r="AC2" s="229"/>
    </row>
    <row r="3" spans="1:29" ht="28.5" customHeight="1" x14ac:dyDescent="0.25">
      <c r="B3" s="46"/>
      <c r="C3" s="40"/>
      <c r="D3" s="278"/>
      <c r="E3" s="197" t="s">
        <v>567</v>
      </c>
      <c r="F3" s="433" t="s">
        <v>433</v>
      </c>
      <c r="G3" s="433"/>
      <c r="H3" s="433"/>
      <c r="I3" s="433"/>
      <c r="J3" s="433"/>
      <c r="K3" s="433"/>
      <c r="L3" s="433"/>
      <c r="M3" s="433"/>
      <c r="N3" s="433"/>
      <c r="O3" s="433"/>
      <c r="P3" s="433"/>
      <c r="Q3" s="433"/>
      <c r="R3" s="433"/>
      <c r="S3" s="433"/>
      <c r="T3" s="433"/>
      <c r="U3" s="235"/>
      <c r="V3" s="229"/>
      <c r="W3" s="229"/>
      <c r="X3" s="229"/>
      <c r="Y3" s="229"/>
      <c r="Z3" s="229"/>
      <c r="AA3" s="229"/>
      <c r="AB3" s="229"/>
      <c r="AC3" s="229"/>
    </row>
    <row r="4" spans="1:29" ht="6.75" customHeight="1" x14ac:dyDescent="0.25">
      <c r="B4" s="46"/>
      <c r="C4" s="54"/>
      <c r="D4" s="279"/>
      <c r="E4" s="428" t="s">
        <v>610</v>
      </c>
      <c r="F4" s="428"/>
      <c r="G4" s="428"/>
      <c r="H4" s="428"/>
      <c r="I4" s="428"/>
      <c r="J4" s="428"/>
      <c r="K4" s="428"/>
      <c r="L4" s="428"/>
      <c r="M4" s="428"/>
      <c r="N4" s="428"/>
      <c r="O4" s="428"/>
      <c r="P4" s="428"/>
      <c r="Q4" s="428"/>
      <c r="R4" s="428"/>
      <c r="S4" s="428"/>
      <c r="T4" s="428"/>
      <c r="U4" s="235"/>
      <c r="V4" s="229"/>
      <c r="W4" s="229"/>
      <c r="X4" s="229"/>
      <c r="Y4" s="229"/>
      <c r="Z4" s="229"/>
      <c r="AA4" s="229"/>
      <c r="AB4" s="229"/>
      <c r="AC4" s="229"/>
    </row>
    <row r="5" spans="1:29" ht="6.75" customHeight="1" x14ac:dyDescent="0.25">
      <c r="B5" s="46"/>
      <c r="C5" s="54"/>
      <c r="D5" s="279"/>
      <c r="E5" s="428"/>
      <c r="F5" s="428"/>
      <c r="G5" s="428"/>
      <c r="H5" s="428"/>
      <c r="I5" s="428"/>
      <c r="J5" s="428"/>
      <c r="K5" s="428"/>
      <c r="L5" s="428"/>
      <c r="M5" s="428"/>
      <c r="N5" s="428"/>
      <c r="O5" s="428"/>
      <c r="P5" s="428"/>
      <c r="Q5" s="428"/>
      <c r="R5" s="428"/>
      <c r="S5" s="428"/>
      <c r="T5" s="428"/>
      <c r="U5" s="235"/>
      <c r="V5" s="229"/>
      <c r="W5" s="229"/>
      <c r="X5" s="229"/>
      <c r="Y5" s="229"/>
      <c r="Z5" s="229"/>
      <c r="AA5" s="229"/>
      <c r="AB5" s="229"/>
      <c r="AC5" s="229"/>
    </row>
    <row r="6" spans="1:29" ht="24.75" customHeight="1" x14ac:dyDescent="0.25">
      <c r="B6" s="46"/>
      <c r="C6" s="42"/>
      <c r="D6" s="227"/>
      <c r="E6" s="428"/>
      <c r="F6" s="428"/>
      <c r="G6" s="428"/>
      <c r="H6" s="428"/>
      <c r="I6" s="428"/>
      <c r="J6" s="428"/>
      <c r="K6" s="428"/>
      <c r="L6" s="428"/>
      <c r="M6" s="428"/>
      <c r="N6" s="428"/>
      <c r="O6" s="428"/>
      <c r="P6" s="428"/>
      <c r="Q6" s="428"/>
      <c r="R6" s="428"/>
      <c r="S6" s="428"/>
      <c r="T6" s="428"/>
      <c r="U6" s="235"/>
      <c r="V6" s="229"/>
      <c r="W6" s="229"/>
      <c r="X6" s="229"/>
      <c r="Y6" s="229"/>
      <c r="Z6" s="229"/>
      <c r="AA6" s="229"/>
      <c r="AB6" s="229"/>
      <c r="AC6" s="229"/>
    </row>
    <row r="7" spans="1:29" ht="21" customHeight="1" x14ac:dyDescent="0.25">
      <c r="B7" s="46"/>
      <c r="C7" s="42"/>
      <c r="D7" s="272"/>
      <c r="E7" s="280"/>
      <c r="F7" s="280"/>
      <c r="G7" s="280"/>
      <c r="H7" s="280"/>
      <c r="I7" s="280"/>
      <c r="J7" s="280"/>
      <c r="K7" s="280"/>
      <c r="L7" s="280"/>
      <c r="M7" s="280"/>
      <c r="N7" s="280"/>
      <c r="O7" s="280"/>
      <c r="P7" s="280"/>
      <c r="Q7" s="280"/>
      <c r="R7" s="280"/>
      <c r="S7" s="280"/>
      <c r="T7" s="280"/>
      <c r="U7" s="235"/>
      <c r="V7" s="229"/>
      <c r="W7" s="229"/>
      <c r="X7" s="229"/>
      <c r="Y7" s="229"/>
      <c r="Z7" s="229"/>
      <c r="AA7" s="229"/>
      <c r="AB7" s="229"/>
      <c r="AC7" s="229"/>
    </row>
    <row r="8" spans="1:29" ht="37.5" customHeight="1" x14ac:dyDescent="0.25">
      <c r="B8" s="46"/>
      <c r="C8" s="55"/>
      <c r="D8" s="227"/>
      <c r="E8" s="48" t="s">
        <v>5</v>
      </c>
      <c r="F8" s="374" t="s">
        <v>506</v>
      </c>
      <c r="G8" s="374"/>
      <c r="H8" s="374"/>
      <c r="I8" s="374"/>
      <c r="J8" s="374"/>
      <c r="K8" s="144" t="s">
        <v>2</v>
      </c>
      <c r="L8" s="144"/>
      <c r="M8" s="144" t="s">
        <v>3</v>
      </c>
      <c r="N8" s="226"/>
      <c r="O8" s="144"/>
      <c r="P8" s="144"/>
      <c r="Q8" s="144"/>
      <c r="R8" s="144"/>
      <c r="S8" s="144"/>
      <c r="T8" s="49"/>
      <c r="U8" s="235"/>
      <c r="V8" s="229"/>
      <c r="W8" s="229"/>
      <c r="X8" s="229"/>
      <c r="Y8" s="229"/>
      <c r="Z8" s="229"/>
      <c r="AA8" s="229"/>
      <c r="AB8" s="229"/>
      <c r="AC8" s="229"/>
    </row>
    <row r="9" spans="1:29" ht="4.5" customHeight="1" x14ac:dyDescent="0.25">
      <c r="B9" s="46"/>
      <c r="C9" s="42"/>
      <c r="D9" s="227"/>
      <c r="E9" s="49"/>
      <c r="F9" s="49"/>
      <c r="G9" s="49"/>
      <c r="H9" s="49"/>
      <c r="I9" s="49"/>
      <c r="J9" s="49"/>
      <c r="K9" s="49"/>
      <c r="L9" s="49"/>
      <c r="M9" s="49"/>
      <c r="N9" s="226"/>
      <c r="O9" s="49"/>
      <c r="P9" s="49"/>
      <c r="Q9" s="49"/>
      <c r="R9" s="49"/>
      <c r="S9" s="49"/>
      <c r="T9" s="49"/>
      <c r="U9" s="235"/>
      <c r="V9" s="229"/>
      <c r="W9" s="229"/>
      <c r="X9" s="229"/>
      <c r="Y9" s="229"/>
      <c r="Z9" s="229"/>
      <c r="AA9" s="229"/>
      <c r="AB9" s="229"/>
      <c r="AC9" s="229"/>
    </row>
    <row r="10" spans="1:29" ht="30.95" customHeight="1" x14ac:dyDescent="0.25">
      <c r="B10" s="46"/>
      <c r="C10" s="42"/>
      <c r="D10" s="227"/>
      <c r="E10" s="49"/>
      <c r="F10" s="38" t="s">
        <v>435</v>
      </c>
      <c r="G10" s="49"/>
      <c r="H10" s="49"/>
      <c r="I10" s="49"/>
      <c r="J10" s="49"/>
      <c r="K10" s="273">
        <f>IF('Stage 4'!O43&gt;0,'Stage 4'!O43,0)</f>
        <v>21.606502462768265</v>
      </c>
      <c r="L10" s="269"/>
      <c r="M10" s="246" t="s">
        <v>15</v>
      </c>
      <c r="N10" s="226"/>
      <c r="O10" s="246"/>
      <c r="P10" s="246"/>
      <c r="Q10" s="246"/>
      <c r="R10" s="246"/>
      <c r="S10" s="246"/>
      <c r="T10" s="49"/>
      <c r="U10" s="235"/>
      <c r="V10" s="229"/>
      <c r="W10" s="229"/>
      <c r="X10" s="229"/>
      <c r="Y10" s="229"/>
      <c r="Z10" s="229"/>
      <c r="AA10" s="229"/>
      <c r="AB10" s="229"/>
      <c r="AC10" s="229"/>
    </row>
    <row r="11" spans="1:29" ht="23.45" customHeight="1" x14ac:dyDescent="0.25">
      <c r="B11" s="46"/>
      <c r="C11" s="42"/>
      <c r="D11" s="227"/>
      <c r="E11" s="49"/>
      <c r="F11" s="38" t="s">
        <v>434</v>
      </c>
      <c r="G11" s="49"/>
      <c r="H11" s="49"/>
      <c r="I11" s="49"/>
      <c r="J11" s="49"/>
      <c r="K11" s="273">
        <f>IF('Stage 4'!O44&gt;0,'Stage 4'!O44,0)</f>
        <v>910.87928788290185</v>
      </c>
      <c r="L11" s="269"/>
      <c r="M11" s="246" t="s">
        <v>15</v>
      </c>
      <c r="N11" s="226"/>
      <c r="O11" s="246"/>
      <c r="P11" s="246"/>
      <c r="Q11" s="246"/>
      <c r="R11" s="246"/>
      <c r="S11" s="246"/>
      <c r="T11" s="49"/>
      <c r="U11" s="235"/>
      <c r="V11" s="229"/>
      <c r="W11" s="229"/>
      <c r="X11" s="229"/>
      <c r="Y11" s="229"/>
      <c r="Z11" s="229"/>
      <c r="AA11" s="229"/>
      <c r="AB11" s="229"/>
      <c r="AC11" s="229"/>
    </row>
    <row r="12" spans="1:29" ht="17.45" customHeight="1" thickBot="1" x14ac:dyDescent="0.3">
      <c r="B12" s="46"/>
      <c r="C12" s="42"/>
      <c r="D12" s="227"/>
      <c r="E12" s="49"/>
      <c r="F12" s="49"/>
      <c r="G12" s="49"/>
      <c r="H12" s="49"/>
      <c r="I12" s="49"/>
      <c r="J12" s="49"/>
      <c r="K12" s="49"/>
      <c r="L12" s="49"/>
      <c r="M12" s="49"/>
      <c r="N12" s="49"/>
      <c r="O12" s="49"/>
      <c r="P12" s="49"/>
      <c r="Q12" s="49"/>
      <c r="R12" s="247"/>
      <c r="S12" s="247"/>
      <c r="T12" s="247"/>
      <c r="U12" s="235"/>
      <c r="V12" s="311"/>
      <c r="W12" s="252"/>
      <c r="X12" s="252"/>
      <c r="Y12" s="252"/>
      <c r="Z12" s="252"/>
      <c r="AA12" s="252"/>
      <c r="AB12" s="252"/>
      <c r="AC12" s="252"/>
    </row>
    <row r="13" spans="1:29" ht="6.95" customHeight="1" x14ac:dyDescent="0.25">
      <c r="B13" s="46"/>
      <c r="C13" s="42"/>
      <c r="D13" s="272"/>
      <c r="E13" s="259"/>
      <c r="F13" s="259"/>
      <c r="G13" s="259"/>
      <c r="H13" s="259"/>
      <c r="I13" s="259"/>
      <c r="J13" s="259"/>
      <c r="K13" s="259"/>
      <c r="L13" s="259"/>
      <c r="M13" s="259"/>
      <c r="N13" s="259"/>
      <c r="O13" s="259"/>
      <c r="P13" s="259"/>
      <c r="Q13" s="259"/>
      <c r="R13" s="49"/>
      <c r="S13" s="49"/>
      <c r="T13" s="49"/>
      <c r="U13" s="227"/>
      <c r="V13" s="227"/>
      <c r="W13" s="227"/>
      <c r="X13" s="227"/>
      <c r="Y13" s="227"/>
      <c r="Z13" s="227"/>
      <c r="AA13" s="227"/>
      <c r="AB13" s="227"/>
      <c r="AC13" s="312"/>
    </row>
    <row r="14" spans="1:29" ht="15.95" customHeight="1" x14ac:dyDescent="0.25">
      <c r="B14" s="46"/>
      <c r="C14" s="42"/>
      <c r="D14" s="227"/>
      <c r="E14" s="48" t="s">
        <v>8</v>
      </c>
      <c r="F14" s="374" t="s">
        <v>65</v>
      </c>
      <c r="G14" s="374"/>
      <c r="H14" s="374"/>
      <c r="I14" s="374"/>
      <c r="J14" s="374"/>
      <c r="K14" s="49"/>
      <c r="L14" s="49"/>
      <c r="M14" s="49"/>
      <c r="N14" s="49"/>
      <c r="O14" s="49"/>
      <c r="P14" s="49"/>
      <c r="Q14" s="49"/>
      <c r="R14" s="49"/>
      <c r="S14" s="49"/>
      <c r="T14" s="49"/>
      <c r="U14" s="49"/>
      <c r="V14" s="49"/>
      <c r="W14" s="49"/>
      <c r="X14" s="49"/>
      <c r="Y14" s="49"/>
      <c r="Z14" s="49"/>
      <c r="AA14" s="49"/>
      <c r="AB14" s="49"/>
      <c r="AC14" s="313"/>
    </row>
    <row r="15" spans="1:29" ht="10.5" customHeight="1" x14ac:dyDescent="0.25">
      <c r="B15" s="46"/>
      <c r="C15" s="42"/>
      <c r="D15" s="227"/>
      <c r="E15" s="49"/>
      <c r="F15" s="49"/>
      <c r="G15" s="49"/>
      <c r="H15" s="49"/>
      <c r="I15" s="49"/>
      <c r="J15" s="49"/>
      <c r="K15" s="49"/>
      <c r="L15" s="49"/>
      <c r="M15" s="49"/>
      <c r="N15" s="49"/>
      <c r="O15" s="49"/>
      <c r="P15" s="258"/>
      <c r="Q15" s="49"/>
      <c r="R15" s="49"/>
      <c r="S15" s="49"/>
      <c r="T15" s="49"/>
      <c r="U15" s="49"/>
      <c r="V15" s="49"/>
      <c r="W15" s="49"/>
      <c r="X15" s="49"/>
      <c r="Y15" s="66"/>
      <c r="Z15" s="49"/>
      <c r="AA15" s="49"/>
      <c r="AB15" s="49"/>
      <c r="AC15" s="313"/>
    </row>
    <row r="16" spans="1:29" ht="14.45" customHeight="1" x14ac:dyDescent="0.25">
      <c r="B16" s="46"/>
      <c r="C16" s="42"/>
      <c r="D16" s="227"/>
      <c r="E16" s="66" t="s">
        <v>58</v>
      </c>
      <c r="F16" s="49" t="s">
        <v>82</v>
      </c>
      <c r="G16" s="49"/>
      <c r="H16" s="49"/>
      <c r="I16" s="49"/>
      <c r="J16" s="49"/>
      <c r="K16" s="450" t="s">
        <v>62</v>
      </c>
      <c r="L16" s="450"/>
      <c r="M16" s="450"/>
      <c r="N16" s="66"/>
      <c r="O16" s="49"/>
      <c r="P16" s="258"/>
      <c r="Q16" s="49"/>
      <c r="R16" s="67" t="s">
        <v>59</v>
      </c>
      <c r="S16" s="67"/>
      <c r="T16" s="374" t="s">
        <v>83</v>
      </c>
      <c r="U16" s="374"/>
      <c r="V16" s="374"/>
      <c r="W16" s="374"/>
      <c r="X16" s="374"/>
      <c r="Y16" s="238" t="s">
        <v>62</v>
      </c>
      <c r="Z16" s="49"/>
      <c r="AA16" s="49"/>
      <c r="AB16" s="49"/>
      <c r="AC16" s="313"/>
    </row>
    <row r="17" spans="2:53" ht="14.45" customHeight="1" x14ac:dyDescent="0.25">
      <c r="B17" s="46"/>
      <c r="C17" s="42"/>
      <c r="D17" s="227"/>
      <c r="E17" s="49"/>
      <c r="F17" s="49"/>
      <c r="G17" s="49"/>
      <c r="H17" s="49"/>
      <c r="I17" s="49"/>
      <c r="J17" s="49"/>
      <c r="K17" s="49"/>
      <c r="L17" s="49"/>
      <c r="M17" s="49"/>
      <c r="N17" s="49"/>
      <c r="O17" s="49"/>
      <c r="P17" s="258"/>
      <c r="Q17" s="49"/>
      <c r="R17" s="49"/>
      <c r="S17" s="49"/>
      <c r="T17" s="49"/>
      <c r="U17" s="49"/>
      <c r="V17" s="49"/>
      <c r="W17" s="49"/>
      <c r="X17" s="49"/>
      <c r="Y17" s="49"/>
      <c r="Z17" s="49"/>
      <c r="AA17" s="49"/>
      <c r="AB17" s="49"/>
      <c r="AC17" s="313"/>
    </row>
    <row r="18" spans="2:53" ht="45" customHeight="1" x14ac:dyDescent="0.25">
      <c r="B18" s="46"/>
      <c r="C18" s="42"/>
      <c r="D18" s="227"/>
      <c r="E18" s="449" t="s">
        <v>91</v>
      </c>
      <c r="F18" s="449"/>
      <c r="G18" s="449"/>
      <c r="H18" s="449"/>
      <c r="I18" s="449"/>
      <c r="J18" s="449"/>
      <c r="K18" s="449"/>
      <c r="L18" s="449"/>
      <c r="M18" s="449"/>
      <c r="N18" s="449"/>
      <c r="O18" s="449"/>
      <c r="P18" s="258"/>
      <c r="Q18" s="49"/>
      <c r="R18" s="49"/>
      <c r="S18" s="49"/>
      <c r="T18" s="449" t="s">
        <v>88</v>
      </c>
      <c r="U18" s="449"/>
      <c r="V18" s="449"/>
      <c r="W18" s="449"/>
      <c r="X18" s="449"/>
      <c r="Y18" s="449"/>
      <c r="Z18" s="449"/>
      <c r="AA18" s="314"/>
      <c r="AB18" s="314"/>
      <c r="AC18" s="313"/>
    </row>
    <row r="19" spans="2:53" ht="14.45" customHeight="1" x14ac:dyDescent="0.25">
      <c r="B19" s="46"/>
      <c r="C19" s="42"/>
      <c r="D19" s="227"/>
      <c r="E19" s="49"/>
      <c r="F19" s="49"/>
      <c r="G19" s="49"/>
      <c r="H19" s="49"/>
      <c r="I19" s="49"/>
      <c r="J19" s="49"/>
      <c r="K19" s="49"/>
      <c r="L19" s="49"/>
      <c r="M19" s="49"/>
      <c r="N19" s="49"/>
      <c r="O19" s="49"/>
      <c r="P19" s="258"/>
      <c r="Q19" s="49"/>
      <c r="R19" s="49"/>
      <c r="S19" s="49"/>
      <c r="T19" s="374" t="s">
        <v>87</v>
      </c>
      <c r="U19" s="374"/>
      <c r="V19" s="374"/>
      <c r="W19" s="374"/>
      <c r="X19" s="374"/>
      <c r="Y19" s="374"/>
      <c r="Z19" s="374"/>
      <c r="AA19" s="49"/>
      <c r="AB19" s="49"/>
      <c r="AC19" s="313"/>
    </row>
    <row r="20" spans="2:53" ht="15.95" customHeight="1" x14ac:dyDescent="0.25">
      <c r="B20" s="46"/>
      <c r="C20" s="42"/>
      <c r="D20" s="227"/>
      <c r="E20" s="66"/>
      <c r="F20" s="374" t="s">
        <v>137</v>
      </c>
      <c r="G20" s="374"/>
      <c r="H20" s="374"/>
      <c r="I20" s="374"/>
      <c r="J20" s="374"/>
      <c r="K20" s="144" t="s">
        <v>2</v>
      </c>
      <c r="L20" s="144"/>
      <c r="M20" s="144"/>
      <c r="N20" s="66"/>
      <c r="O20" s="144" t="s">
        <v>3</v>
      </c>
      <c r="P20" s="258"/>
      <c r="Q20" s="49"/>
      <c r="R20" s="49"/>
      <c r="S20" s="49"/>
      <c r="T20" s="226"/>
      <c r="U20" s="226"/>
      <c r="V20" s="226"/>
      <c r="W20" s="226"/>
      <c r="X20" s="226"/>
      <c r="Y20" s="226"/>
      <c r="Z20" s="226"/>
      <c r="AA20" s="142"/>
      <c r="AB20" s="142"/>
      <c r="AC20" s="313"/>
    </row>
    <row r="21" spans="2:53" ht="13.5" customHeight="1" x14ac:dyDescent="0.25">
      <c r="B21" s="46"/>
      <c r="C21" s="42"/>
      <c r="D21" s="227"/>
      <c r="E21" s="49"/>
      <c r="F21" s="49"/>
      <c r="G21" s="49"/>
      <c r="H21" s="49"/>
      <c r="I21" s="49"/>
      <c r="J21" s="49"/>
      <c r="K21" s="144" t="s">
        <v>436</v>
      </c>
      <c r="L21" s="144"/>
      <c r="M21" s="144" t="s">
        <v>437</v>
      </c>
      <c r="N21" s="49"/>
      <c r="O21" s="49"/>
      <c r="P21" s="258"/>
      <c r="Q21" s="49"/>
      <c r="R21" s="49"/>
      <c r="S21" s="49"/>
      <c r="T21" s="374" t="s">
        <v>380</v>
      </c>
      <c r="U21" s="374"/>
      <c r="V21" s="374"/>
      <c r="W21" s="374"/>
      <c r="X21" s="374"/>
      <c r="Y21" s="238" t="s">
        <v>385</v>
      </c>
      <c r="Z21" s="49"/>
      <c r="AA21" s="49"/>
      <c r="AB21" s="49"/>
      <c r="AC21" s="313"/>
    </row>
    <row r="22" spans="2:53" ht="41.1" customHeight="1" x14ac:dyDescent="0.25">
      <c r="B22" s="46"/>
      <c r="C22" s="42"/>
      <c r="D22" s="227"/>
      <c r="E22" s="49"/>
      <c r="F22" s="382" t="s">
        <v>85</v>
      </c>
      <c r="G22" s="382"/>
      <c r="H22" s="382"/>
      <c r="I22" s="382"/>
      <c r="J22" s="382"/>
      <c r="K22" s="273">
        <f>'Stage 2'!K46/'Stage 2'!K41</f>
        <v>1.0317036962029649</v>
      </c>
      <c r="L22" s="269"/>
      <c r="M22" s="273">
        <f>'Stage 2'!K48/'Stage 2'!K41</f>
        <v>6.5630843338283551</v>
      </c>
      <c r="N22" s="238" t="s">
        <v>62</v>
      </c>
      <c r="O22" s="246" t="s">
        <v>81</v>
      </c>
      <c r="P22" s="258"/>
      <c r="Q22" s="49"/>
      <c r="R22" s="48"/>
      <c r="S22" s="48"/>
      <c r="T22" s="374" t="s">
        <v>379</v>
      </c>
      <c r="U22" s="374"/>
      <c r="V22" s="374"/>
      <c r="W22" s="374"/>
      <c r="X22" s="374"/>
      <c r="Y22" s="257" t="s">
        <v>384</v>
      </c>
      <c r="Z22" s="49"/>
      <c r="AA22" s="142"/>
      <c r="AB22" s="142"/>
      <c r="AC22" s="313"/>
    </row>
    <row r="23" spans="2:53" ht="15.95" customHeight="1" x14ac:dyDescent="0.25">
      <c r="B23" s="46"/>
      <c r="C23" s="42"/>
      <c r="D23" s="227"/>
      <c r="E23" s="49"/>
      <c r="F23" s="146"/>
      <c r="G23" s="146"/>
      <c r="H23" s="146"/>
      <c r="I23" s="146"/>
      <c r="J23" s="146"/>
      <c r="K23" s="269"/>
      <c r="L23" s="269"/>
      <c r="M23" s="269"/>
      <c r="N23" s="239"/>
      <c r="O23" s="246"/>
      <c r="P23" s="258"/>
      <c r="Q23" s="49"/>
      <c r="R23" s="48"/>
      <c r="S23" s="48"/>
      <c r="T23" s="374" t="s">
        <v>383</v>
      </c>
      <c r="U23" s="374"/>
      <c r="V23" s="374"/>
      <c r="W23" s="374"/>
      <c r="X23" s="374"/>
      <c r="Y23" s="238" t="s">
        <v>476</v>
      </c>
      <c r="Z23" s="142"/>
      <c r="AA23" s="142"/>
      <c r="AB23" s="142"/>
      <c r="AC23" s="313"/>
    </row>
    <row r="24" spans="2:53" ht="15.95" customHeight="1" x14ac:dyDescent="0.25">
      <c r="B24" s="46"/>
      <c r="C24" s="42"/>
      <c r="D24" s="227"/>
      <c r="E24" s="49"/>
      <c r="F24" s="146"/>
      <c r="G24" s="146"/>
      <c r="H24" s="146"/>
      <c r="I24" s="146"/>
      <c r="J24" s="146"/>
      <c r="K24" s="269"/>
      <c r="L24" s="269"/>
      <c r="M24" s="269"/>
      <c r="N24" s="239"/>
      <c r="O24" s="246"/>
      <c r="P24" s="258"/>
      <c r="Q24" s="49"/>
      <c r="R24" s="48"/>
      <c r="S24" s="48"/>
      <c r="T24" s="374" t="s">
        <v>381</v>
      </c>
      <c r="U24" s="374"/>
      <c r="V24" s="374"/>
      <c r="W24" s="374"/>
      <c r="X24" s="374"/>
      <c r="Y24" s="238" t="s">
        <v>13</v>
      </c>
      <c r="Z24" s="142"/>
      <c r="AA24" s="142"/>
      <c r="AB24" s="142"/>
      <c r="AC24" s="313"/>
    </row>
    <row r="25" spans="2:53" ht="20.100000000000001" customHeight="1" x14ac:dyDescent="0.25">
      <c r="B25" s="46"/>
      <c r="C25" s="42"/>
      <c r="D25" s="227"/>
      <c r="E25" s="49"/>
      <c r="F25" s="38"/>
      <c r="G25" s="49"/>
      <c r="H25" s="49"/>
      <c r="I25" s="49"/>
      <c r="J25" s="49"/>
      <c r="K25" s="269"/>
      <c r="L25" s="269"/>
      <c r="M25" s="269"/>
      <c r="N25" s="144"/>
      <c r="O25" s="246"/>
      <c r="P25" s="258"/>
      <c r="Q25" s="49"/>
      <c r="R25" s="451"/>
      <c r="S25" s="451"/>
      <c r="T25" s="451"/>
      <c r="U25" s="451"/>
      <c r="V25" s="451"/>
      <c r="W25" s="451"/>
      <c r="X25" s="451"/>
      <c r="Y25" s="451"/>
      <c r="Z25" s="451"/>
      <c r="AA25" s="451"/>
      <c r="AB25" s="451"/>
      <c r="AC25" s="452"/>
    </row>
    <row r="26" spans="2:53" ht="24" customHeight="1" x14ac:dyDescent="0.25">
      <c r="B26" s="46"/>
      <c r="C26" s="42"/>
      <c r="D26" s="227"/>
      <c r="E26" s="49"/>
      <c r="F26" s="382" t="s">
        <v>84</v>
      </c>
      <c r="G26" s="382"/>
      <c r="H26" s="382"/>
      <c r="I26" s="382"/>
      <c r="J26" s="382"/>
      <c r="K26" s="144" t="s">
        <v>436</v>
      </c>
      <c r="L26" s="144"/>
      <c r="M26" s="144" t="s">
        <v>437</v>
      </c>
      <c r="N26" s="49"/>
      <c r="O26" s="246"/>
      <c r="P26" s="258"/>
      <c r="Q26" s="49"/>
      <c r="R26" s="49"/>
      <c r="S26" s="49"/>
      <c r="T26" s="382" t="s">
        <v>86</v>
      </c>
      <c r="U26" s="382"/>
      <c r="V26" s="382"/>
      <c r="W26" s="382"/>
      <c r="X26" s="382"/>
      <c r="Y26" s="49"/>
      <c r="Z26" s="49"/>
      <c r="AA26" s="281" t="s">
        <v>396</v>
      </c>
      <c r="AB26" s="281" t="s">
        <v>397</v>
      </c>
      <c r="AC26" s="313"/>
      <c r="AP26" s="114"/>
    </row>
    <row r="27" spans="2:53" ht="15.95" customHeight="1" x14ac:dyDescent="0.25">
      <c r="B27" s="46"/>
      <c r="C27" s="42"/>
      <c r="D27" s="227"/>
      <c r="E27" s="432" t="str">
        <f>'Stage 2'!F22</f>
        <v>High density residential</v>
      </c>
      <c r="F27" s="432"/>
      <c r="G27" s="432"/>
      <c r="H27" s="432"/>
      <c r="I27" s="432"/>
      <c r="J27" s="49"/>
      <c r="K27" s="315" t="str">
        <f>IF('Stage 2'!$K22&gt;0,'Stage 2'!O22/'Stage 2'!$K22,"")</f>
        <v/>
      </c>
      <c r="L27" s="269"/>
      <c r="M27" s="273" t="str">
        <f>IF('Stage 2'!$K22&gt;0,'Stage 2'!Q22/'Stage 2'!$K22,"")</f>
        <v/>
      </c>
      <c r="N27" s="238" t="s">
        <v>62</v>
      </c>
      <c r="O27" s="240" t="s">
        <v>81</v>
      </c>
      <c r="P27" s="258"/>
      <c r="Q27" s="49"/>
      <c r="R27" s="49"/>
      <c r="S27" s="49"/>
      <c r="T27" s="432" t="str">
        <f t="shared" ref="T27:T44" si="0">E27</f>
        <v>High density residential</v>
      </c>
      <c r="U27" s="432"/>
      <c r="V27" s="432"/>
      <c r="W27" s="432"/>
      <c r="X27" s="432"/>
      <c r="Y27" s="238" t="s">
        <v>62</v>
      </c>
      <c r="Z27" s="49"/>
      <c r="AA27" s="283" t="str">
        <f>IF($Y$16="Yes",IF($Y$27="Yes",IF($Y$23="550-575",'Data Tables'!AC39,IF($Y$23="575-600",'Data Tables'!AC40,IF($Y$23="600-625",'Data Tables'!AC41,IF($Y$23="625-650",'Data Tables'!AC42,IF($Y$23="650-675",'Data Tables'!AC43,IF($Y$23="675-700",'Data Tables'!AC44,IF($Y$23="700-750",'Data Tables'!AC45,IF($Y$23="750-800",'Data Tables'!AC46,IF($Y$23="800-850",'Data Tables'!AC47,'Data Tables'!AC48))))))))),0),"")</f>
        <v/>
      </c>
      <c r="AB27" s="283" t="str">
        <f>IF($Y$16="Yes",IF($Y$27="Yes",IF($Y$23="550-575",'Data Tables'!AD39,IF($Y$23="575-600",'Data Tables'!AD40,IF($Y$23="600-625",'Data Tables'!AD41,IF($Y$23="625-650",'Data Tables'!AD42,IF($Y$23="650-675",'Data Tables'!AD43,IF($Y$23="675-700",'Data Tables'!AD44,IF($Y$23="700-750",'Data Tables'!AD45,IF($Y$23="750-800",'Data Tables'!AD46,IF($Y$23="800-850",'Data Tables'!AD47,'Data Tables'!AD48))))))))),0),"")</f>
        <v/>
      </c>
      <c r="AC27" s="313"/>
      <c r="AO27" s="114"/>
      <c r="AQ27" s="114"/>
    </row>
    <row r="28" spans="2:53" ht="15.95" customHeight="1" x14ac:dyDescent="0.25">
      <c r="B28" s="46"/>
      <c r="C28" s="42"/>
      <c r="D28" s="227"/>
      <c r="E28" s="432" t="str">
        <f>'Stage 2'!F23</f>
        <v>Medium density residential</v>
      </c>
      <c r="F28" s="432"/>
      <c r="G28" s="432"/>
      <c r="H28" s="432"/>
      <c r="I28" s="432"/>
      <c r="J28" s="49"/>
      <c r="K28" s="315" t="str">
        <f>IF('Stage 2'!$K23&gt;0,'Stage 2'!O23/'Stage 2'!$K23,"")</f>
        <v/>
      </c>
      <c r="L28" s="269"/>
      <c r="M28" s="273" t="str">
        <f>IF('Stage 2'!$K23&gt;0,'Stage 2'!Q23/'Stage 2'!$K23,"")</f>
        <v/>
      </c>
      <c r="N28" s="238" t="s">
        <v>62</v>
      </c>
      <c r="O28" s="240" t="s">
        <v>81</v>
      </c>
      <c r="P28" s="258"/>
      <c r="Q28" s="49"/>
      <c r="R28" s="49"/>
      <c r="S28" s="49"/>
      <c r="T28" s="432" t="str">
        <f t="shared" si="0"/>
        <v>Medium density residential</v>
      </c>
      <c r="U28" s="432"/>
      <c r="V28" s="432"/>
      <c r="W28" s="432"/>
      <c r="X28" s="432"/>
      <c r="Y28" s="238" t="s">
        <v>62</v>
      </c>
      <c r="Z28" s="49"/>
      <c r="AA28" s="283" t="str">
        <f>IF($Y$16="Yes",IF($Y$28="Yes",IF($Y$23="550-575",'Data Tables'!AE39,IF($Y$23="575-600",'Data Tables'!AE40,IF($Y$23="600-625",'Data Tables'!AE41,IF($Y$23="625-650",'Data Tables'!AE42,IF($Y$23="650-675",'Data Tables'!AE43,IF($Y$23="675-700",'Data Tables'!AE44,IF($Y$23="700-750",'Data Tables'!AE45,IF($Y$23="750-800",'Data Tables'!AE46,IF($Y$23="800-850",'Data Tables'!AE47,'Data Tables'!AE48))))))))),0),"")</f>
        <v/>
      </c>
      <c r="AB28" s="283" t="str">
        <f>IF($Y$16="Yes",IF($Y$28="Yes",IF($Y$23="550-575",'Data Tables'!AF39,IF($Y$23="575-600",'Data Tables'!AF40,IF($Y$23="600-625",'Data Tables'!AF41,IF($Y$23="625-650",'Data Tables'!AF42,IF($Y$23="650-675",'Data Tables'!AF43,IF($Y$23="675-700",'Data Tables'!AF44,IF($Y$23="700-750",'Data Tables'!AF45,IF($Y$23="750-800",'Data Tables'!AF46,IF($Y$23="800-850",'Data Tables'!AF47,'Data Tables'!AF48))))))))),0),"")</f>
        <v/>
      </c>
      <c r="AC28" s="313"/>
    </row>
    <row r="29" spans="2:53" ht="15.95" customHeight="1" x14ac:dyDescent="0.25">
      <c r="B29" s="46"/>
      <c r="C29" s="42"/>
      <c r="D29" s="227"/>
      <c r="E29" s="432" t="str">
        <f>'Stage 2'!F24</f>
        <v>Low density residential</v>
      </c>
      <c r="F29" s="432"/>
      <c r="G29" s="432"/>
      <c r="H29" s="432"/>
      <c r="I29" s="432"/>
      <c r="J29" s="49"/>
      <c r="K29" s="315" t="str">
        <f>IF('Stage 2'!$K24&gt;0,'Stage 2'!O24/'Stage 2'!$K24,"")</f>
        <v/>
      </c>
      <c r="L29" s="269"/>
      <c r="M29" s="273" t="str">
        <f>IF('Stage 2'!$K24&gt;0,'Stage 2'!Q24/'Stage 2'!$K24,"")</f>
        <v/>
      </c>
      <c r="N29" s="238" t="s">
        <v>62</v>
      </c>
      <c r="O29" s="240" t="s">
        <v>81</v>
      </c>
      <c r="P29" s="258"/>
      <c r="Q29" s="49"/>
      <c r="R29" s="49"/>
      <c r="S29" s="49"/>
      <c r="T29" s="432" t="str">
        <f t="shared" si="0"/>
        <v>Low density residential</v>
      </c>
      <c r="U29" s="432"/>
      <c r="V29" s="432"/>
      <c r="W29" s="432"/>
      <c r="X29" s="432"/>
      <c r="Y29" s="238" t="s">
        <v>62</v>
      </c>
      <c r="Z29" s="49"/>
      <c r="AA29" s="283" t="str">
        <f>IF($Y$16="Yes",IF($Y$29="Yes",IF($Y$23="550-575",'Data Tables'!AG39,IF($Y$23="575-600",'Data Tables'!AG40,IF($Y$23="600-625",'Data Tables'!AG41,IF($Y$23="625-650",'Data Tables'!AG42,IF($Y$23="650-675",'Data Tables'!AG43,IF($Y$23="675-700",'Data Tables'!AG44,IF($Y$23="700-750",'Data Tables'!AG45,IF($Y$23="750-800",'Data Tables'!AG46,IF($Y$23="800-850",'Data Tables'!AG47,'Data Tables'!AG48))))))))),0),"")</f>
        <v/>
      </c>
      <c r="AB29" s="283" t="str">
        <f>IF($Y$16="Yes",IF($Y$29="Yes",IF($Y$23="550-575",'Data Tables'!AH39,IF($Y$23="575-600",'Data Tables'!AH40,IF($Y$23="600-625",'Data Tables'!AH41,IF($Y$23="625-650",'Data Tables'!AH42,IF($Y$23="650-675",'Data Tables'!AH43,IF($Y$23="675-700",'Data Tables'!AH44,IF($Y$23="700-750",'Data Tables'!AH45,IF($Y$23="750-800",'Data Tables'!AH46,IF($Y$23="800-850",'Data Tables'!AH47,'Data Tables'!AH48))))))))),0),"")</f>
        <v/>
      </c>
      <c r="AC29" s="313"/>
    </row>
    <row r="30" spans="2:53" ht="15.95" customHeight="1" x14ac:dyDescent="0.25">
      <c r="B30" s="46"/>
      <c r="C30" s="42"/>
      <c r="D30" s="227"/>
      <c r="E30" s="432" t="str">
        <f>'Stage 2'!F25</f>
        <v>Commercial / Industrial</v>
      </c>
      <c r="F30" s="432"/>
      <c r="G30" s="432"/>
      <c r="H30" s="432"/>
      <c r="I30" s="432"/>
      <c r="J30" s="49"/>
      <c r="K30" s="315">
        <f>IF('Stage 2'!$K25&gt;0,'Stage 2'!O25/'Stage 2'!$K25,"")</f>
        <v>1.0317036962029649</v>
      </c>
      <c r="L30" s="269"/>
      <c r="M30" s="273">
        <f>IF('Stage 2'!$K25&gt;0,'Stage 2'!Q25/'Stage 2'!$K25,"")</f>
        <v>6.5630843338283551</v>
      </c>
      <c r="N30" s="238" t="s">
        <v>62</v>
      </c>
      <c r="O30" s="240" t="s">
        <v>81</v>
      </c>
      <c r="P30" s="258"/>
      <c r="Q30" s="49"/>
      <c r="R30" s="49"/>
      <c r="S30" s="49"/>
      <c r="T30" s="432" t="str">
        <f t="shared" si="0"/>
        <v>Commercial / Industrial</v>
      </c>
      <c r="U30" s="432"/>
      <c r="V30" s="432"/>
      <c r="W30" s="432"/>
      <c r="X30" s="432"/>
      <c r="Y30" s="238" t="s">
        <v>62</v>
      </c>
      <c r="Z30" s="49"/>
      <c r="AA30" s="283" t="str">
        <f>IF($Y$16="Yes",IF($Y$30="Yes",IF($Y$23="550-575",'Data Tables'!AI39,IF($Y$23="575-600",'Data Tables'!AI40,IF($Y$23="600-625",'Data Tables'!AI41,IF($Y$23="625-650",'Data Tables'!AI42,IF($Y$23="650-675",'Data Tables'!AI43,IF($Y$23="675-700",'Data Tables'!AI44,IF($Y$23="700-750",'Data Tables'!AI45,IF($Y$23="750-800",'Data Tables'!AI46,IF($Y$23="800-850",'Data Tables'!AI47,'Data Tables'!AI48))))))))),0),"")</f>
        <v/>
      </c>
      <c r="AB30" s="283" t="str">
        <f>IF($Y$16="Yes",IF($Y$30="Yes",IF($Y$23="550-575",'Data Tables'!AJ39,IF($Y$23="575-600",'Data Tables'!AJ40,IF($Y$23="600-625",'Data Tables'!AJ41,IF($Y$23="625-650",'Data Tables'!AJ42,IF($Y$23="650-675",'Data Tables'!AJ43,IF($Y$23="675-700",'Data Tables'!AJ44,IF($Y$23="700-750",'Data Tables'!AJ45,IF($Y$23="750-800",'Data Tables'!AJ46,IF($Y$23="800-850",'Data Tables'!AJ47,'Data Tables'!AJ48))))))))),0),"")</f>
        <v/>
      </c>
      <c r="AC30" s="313"/>
    </row>
    <row r="31" spans="2:53" ht="15.95" customHeight="1" x14ac:dyDescent="0.25">
      <c r="B31" s="46"/>
      <c r="C31" s="42"/>
      <c r="D31" s="227"/>
      <c r="E31" s="432" t="str">
        <f>'Stage 2'!F26</f>
        <v>Urban open space</v>
      </c>
      <c r="F31" s="432"/>
      <c r="G31" s="432"/>
      <c r="H31" s="432"/>
      <c r="I31" s="432"/>
      <c r="J31" s="49"/>
      <c r="K31" s="315" t="str">
        <f>IF('Stage 2'!$K26&gt;0,'Stage 2'!O26/'Stage 2'!$K26,"")</f>
        <v/>
      </c>
      <c r="L31" s="269"/>
      <c r="M31" s="273" t="str">
        <f>IF('Stage 2'!$K26&gt;0,'Stage 2'!Q26/'Stage 2'!$K26,"")</f>
        <v/>
      </c>
      <c r="N31" s="238" t="s">
        <v>62</v>
      </c>
      <c r="O31" s="240" t="s">
        <v>81</v>
      </c>
      <c r="P31" s="258"/>
      <c r="Q31" s="49"/>
      <c r="R31" s="49"/>
      <c r="S31" s="49"/>
      <c r="T31" s="432" t="str">
        <f t="shared" si="0"/>
        <v>Urban open space</v>
      </c>
      <c r="U31" s="432"/>
      <c r="V31" s="432"/>
      <c r="W31" s="432"/>
      <c r="X31" s="432"/>
      <c r="Y31" s="238" t="s">
        <v>62</v>
      </c>
      <c r="Z31" s="49"/>
      <c r="AA31" s="283" t="str">
        <f>IF($Y$16="Yes",IF($Y$31="Yes",IF($Y$23="550-575",'Data Tables'!AK39,IF($Y$23="575-600",'Data Tables'!AK40,IF($Y$23="600-625",'Data Tables'!AK41,IF($Y$23="625-650",'Data Tables'!AK42,IF($Y$23="650-675",'Data Tables'!AK43,IF($Y$23="675-700",'Data Tables'!AK44,IF($Y$23="700-750",'Data Tables'!AK45,IF($Y$23="750-800",'Data Tables'!AK46,IF($Y$23="800-850",'Data Tables'!AK47,'Data Tables'!AK48))))))))),0),"")</f>
        <v/>
      </c>
      <c r="AB31" s="283" t="str">
        <f>IF($Y$16="Yes",IF($Y$31="Yes",IF($Y$23="550-575",'Data Tables'!AL39,IF($Y$23="575-600",'Data Tables'!AL40,IF($Y$23="600-625",'Data Tables'!AL41,IF($Y$23="625-650",'Data Tables'!AL42,IF($Y$23="650-675",'Data Tables'!AL43,IF($Y$23="675-700",'Data Tables'!AL44,IF($Y$23="700-750",'Data Tables'!AL45,IF($Y$23="750-800",'Data Tables'!AL46,IF($Y$23="800-850",'Data Tables'!AL47,'Data Tables'!AL48))))))))),0),"")</f>
        <v/>
      </c>
      <c r="AC31" s="313"/>
    </row>
    <row r="32" spans="2:53" ht="15.95" customHeight="1" x14ac:dyDescent="0.25">
      <c r="B32" s="46"/>
      <c r="C32" s="42"/>
      <c r="D32" s="227"/>
      <c r="E32" s="432" t="str">
        <f>'Stage 2'!F27</f>
        <v>Dairy</v>
      </c>
      <c r="F32" s="432"/>
      <c r="G32" s="432"/>
      <c r="H32" s="432"/>
      <c r="I32" s="432"/>
      <c r="J32" s="49"/>
      <c r="K32" s="315" t="str">
        <f>IF('Stage 2'!$K27&gt;0,'Stage 2'!O27/'Stage 2'!$K27,"")</f>
        <v/>
      </c>
      <c r="L32" s="281"/>
      <c r="M32" s="273" t="str">
        <f>IF('Stage 2'!$K27&gt;0,'Stage 2'!Q27/'Stage 2'!$K27,"")</f>
        <v/>
      </c>
      <c r="N32" s="238" t="s">
        <v>62</v>
      </c>
      <c r="O32" s="240" t="s">
        <v>81</v>
      </c>
      <c r="P32" s="258"/>
      <c r="Q32" s="49"/>
      <c r="R32" s="49"/>
      <c r="S32" s="49"/>
      <c r="T32" s="432" t="str">
        <f t="shared" si="0"/>
        <v>Dairy</v>
      </c>
      <c r="U32" s="432"/>
      <c r="V32" s="432"/>
      <c r="W32" s="432"/>
      <c r="X32" s="432"/>
      <c r="Y32" s="238" t="s">
        <v>62</v>
      </c>
      <c r="Z32" s="49"/>
      <c r="AA32" s="285" t="str">
        <f>IF($Y$16="Yes",IF($Y32="Yes",IF($Y$21="Wensum",(IF($Y$22="Freely draining",IF($Y$23="550-575",IF($Y$24="Yes",'Data Tables'!Y5,'Data Tables'!Z5),IF($Y$23="575-600",IF($Y$24="Yes",'Data Tables'!Y5,'Data Tables'!Z5),IF($Y$23="600-625",IF($Y$24="Yes",'Data Tables'!Y5,'Data Tables'!Z5),IF($Y$23="625-650",IF($Y$24="Yes",'Data Tables'!Y5,'Data Tables'!Z5),IF($Y$23="650-675",IF($Y$24="Yes",'Data Tables'!Y5,'Data Tables'!Z5),IF($Y$23="675-700",IF($Y$24="Yes",'Data Tables'!Y5,'Data Tables'!Z5),IF($Y$23="700-750",IF($Y$24="Yes",'Data Tables'!AE5,'Data Tables'!AF5),IF($Y$23="750-800",IF($Y$24="Yes",'Data Tables'!AE5,'Data Tables'!AF5),IF($Y$23="800-850",IF($Y$24="Yes",'Data Tables'!AE5,'Data Tables'!AF5),IF($Y$24="Yes",'Data Tables'!AE5,'Data Tables'!AF5)))))))))),IF($Y$22="Impermeable - drained for arable",IF($Y$23="550-575",IF($Y$24="Yes",'Data Tables'!AA5,'Data Tables'!AB5),IF($Y$23="575-600",IF($Y$24="Yes",'Data Tables'!AA5,'Data Tables'!AB5),IF($Y$23="600-625",IF($Y$24="Yes",'Data Tables'!AA5,'Data Tables'!AB5),IF($Y$23="625-650",IF($Y$24="Yes",'Data Tables'!AA5,'Data Tables'!AB5),IF($Y$23="650-675",IF($Y$24="Yes",'Data Tables'!AA5,'Data Tables'!AB5),IF($Y$23="675-700",IF($Y$24="Yes",'Data Tables'!AA5,'Data Tables'!AB5),IF($Y$23="700-750",IF($Y$24="Yes",'Data Tables'!AG5,'Data Tables'!AH5),IF($Y$23="750-800",IF($Y$24="Yes",'Data Tables'!AG5,'Data Tables'!AH5),IF($Y$23="800-850",IF($Y$24="Yes",'Data Tables'!AG5,'Data Tables'!AH5),IF($Y$24="Yes",'Data Tables'!AG5,'Data Tables'!AH5)))))))))),IF($Y$23="550-575",IF($Y$24="Yes",'Data Tables'!AC5,'Data Tables'!AD5),IF($Y$23="575-600",IF($Y$24="Yes",'Data Tables'!AC5,'Data Tables'!AD5),IF($Y$23="600-625",IF($Y$24="Yes",'Data Tables'!AC5,'Data Tables'!AD5),IF($Y$23="625-650",IF($Y$24="Yes",'Data Tables'!AC5,'Data Tables'!AD5),IF($Y$23="650-675",IF($Y$24="Yes",'Data Tables'!AC5,'Data Tables'!AD5),IF($Y$23="675-700",IF($Y$24="Yes",'Data Tables'!AC5,'Data Tables'!AD5),IF($Y$23="700-750",IF($Y$24="Yes",'Data Tables'!AI5,'Data Tables'!AJ5),IF($Y$23="750-800",IF($Y$24="Yes",'Data Tables'!AI5,'Data Tables'!AJ5),IF($Y$23="800-850",IF($Y$24="Yes",'Data Tables'!AI5,'Data Tables'!AJ5),IF($Y$24="Yes",'Data Tables'!AI5,'Data Tables'!AJ5))))))))))))),IF($Y$21="Yare",(IF($Y$22="Freely draining",IF($Y$23="550-575",IF($Y$24="Yes",'Data Tables'!Y16,'Data Tables'!Z16),IF($Y$23="575-600",IF($Y$24="Yes",'Data Tables'!Y16,'Data Tables'!Z16),IF($Y$23="600-625",IF($Y$24="Yes",'Data Tables'!Y16,'Data Tables'!Z16),IF($Y$23="625-650",IF($Y$24="Yes",'Data Tables'!Y16,'Data Tables'!Z16),IF($Y$23="650-675",IF($Y$24="Yes",'Data Tables'!Y16,'Data Tables'!Z16),IF($Y$23="675-700",IF($Y$24="Yes",'Data Tables'!Y16,'Data Tables'!Z16),IF($Y$23="700-750",IF($Y$24="Yes",'Data Tables'!AE16,'Data Tables'!AF16),IF($Y$23="750-800",IF($Y$24="Yes",'Data Tables'!AE16,'Data Tables'!AF16),IF($Y$23="800-850",IF($Y$24="Yes",'Data Tables'!AE16,'Data Tables'!AF16),IF($Y$24="Yes",'Data Tables'!AE16,'Data Tables'!AF16)))))))))),IF($Y$22="Impermeable - drained for arable",IF($Y$23="550-575",IF($Y$24="Yes",'Data Tables'!AA16,'Data Tables'!AB16),IF($Y$23="575-600",IF($Y$24="Yes",'Data Tables'!AA16,'Data Tables'!AB16),IF($Y$23="600-625",IF($Y$24="Yes",'Data Tables'!AA16,'Data Tables'!AB16),IF($Y$23="625-650",IF($Y$24="Yes",'Data Tables'!AA16,'Data Tables'!AB16),IF($Y$23="650-675",IF($Y$24="Yes",'Data Tables'!AA16,'Data Tables'!AB16),IF($Y$23="675-700",IF($Y$24="Yes",'Data Tables'!AA16,'Data Tables'!AB16),IF($Y$23="700-750",IF($Y$24="Yes",'Data Tables'!AG16,'Data Tables'!AH16),IF($Y$23="750-800",IF($Y$24="Yes",'Data Tables'!AG16,'Data Tables'!AH16),IF($Y$23="800-850",IF($Y$24="Yes",'Data Tables'!AG16,'Data Tables'!AH16),IF($Y$24="Yes",'Data Tables'!AG16,'Data Tables'!AH16)))))))))),IF($Y$23="550-575",IF($Y$24="Yes",'Data Tables'!AC16,'Data Tables'!AD16),IF($Y$23="575-600",IF($Y$24="Yes",'Data Tables'!AC16,'Data Tables'!AD16),IF($Y$23="600-625",IF($Y$24="Yes",'Data Tables'!AC16,'Data Tables'!AD16),IF($Y$23="625-650",IF($Y$24="Yes",'Data Tables'!AC16,'Data Tables'!AD16),IF($Y$23="650-675",IF($Y$24="Yes",'Data Tables'!AC16,'Data Tables'!AD16),IF($Y$23="675-700",IF($Y$24="Yes",'Data Tables'!AC16,'Data Tables'!AD16),IF($Y$23="700-750",IF($Y$24="Yes",'Data Tables'!AI16,'Data Tables'!AJ16),IF($Y$23="750-800",IF($Y$24="Yes",'Data Tables'!AI16,'Data Tables'!AJ16),IF($Y$23="800-850",IF($Y$24="Yes",'Data Tables'!AI16,'Data Tables'!AJ16),IF($Y$24="Yes",'Data Tables'!AI16,'Data Tables'!AJ16))))))))))))),(IF($Y$22="Freely draining",IF($Y$23="550-575",IF($Y$24="Yes",'Data Tables'!S27,'Data Tables'!T27),IF($Y$23="575-600",IF($Y$24="Yes",'Data Tables'!S27,'Data Tables'!T27),IF($Y$23="600-625",IF($Y$24="Yes",'Data Tables'!Y27,'Data Tables'!Z27),IF($Y$23="625-650",IF($Y$24="Yes",'Data Tables'!Y27,'Data Tables'!Z27),IF($Y$23="650-675",IF($Y$24="Yes",'Data Tables'!Y27,'Data Tables'!Z27),IF($Y$23="675-700",IF($Y$24="Yes",'Data Tables'!Y27,'Data Tables'!Z27),IF($Y$23="700-750",IF($Y$24="Yes",'Data Tables'!AE27,'Data Tables'!AF27),IF($Y$23="750-800",IF($Y$24="Yes",'Data Tables'!AE27,'Data Tables'!AF27),IF($Y$23="800-850",IF($Y$24="Yes",'Data Tables'!AE27,'Data Tables'!AF27),IF($Y$24="Yes",'Data Tables'!AE27,'Data Tables'!AF27)))))))))),IF($Y$22="Impermeable - drained for arable",IF($Y$23="550-575",IF($Y$24="Yes",'Data Tables'!U27,'Data Tables'!V27),IF($Y$23="575-600",IF($Y$24="Yes",'Data Tables'!U27,'Data Tables'!V27),IF($Y$23="600-625",IF($Y$24="Yes",'Data Tables'!AA27,'Data Tables'!AB27),IF($Y$23="625-650",IF($Y$24="Yes",'Data Tables'!AA27,'Data Tables'!AB27),IF($Y$23="650-675",IF($Y$24="Yes",'Data Tables'!AA27,'Data Tables'!AB27),IF($Y$23="675-700",IF($Y$24="Yes",'Data Tables'!AA27,'Data Tables'!AB27),IF($Y$23="700-750",IF($Y$24="Yes",'Data Tables'!AG27,'Data Tables'!AH27),IF($Y$23="750-800",IF($Y$24="Yes",'Data Tables'!AG27,'Data Tables'!AH27),IF($Y$23="800-850",IF($Y$24="Yes",'Data Tables'!AG27,'Data Tables'!AH27),IF($Y$24="Yes",'Data Tables'!AG27,'Data Tables'!AH27)))))))))),IF($Y$23="550-575",IF($Y$24="Yes",'Data Tables'!W27,'Data Tables'!X27),IF($Y$23="575-600",IF($Y$24="Yes",'Data Tables'!W27,'Data Tables'!X27),IF($Y$23="600-625",IF($Y$24="Yes",'Data Tables'!AC27,'Data Tables'!AD27),IF($Y$23="625-650",IF($Y$24="Yes",'Data Tables'!AC27,'Data Tables'!AD27),IF($Y$23="650-675",IF($Y$24="Yes",'Data Tables'!AC27,'Data Tables'!AD27),IF($Y$23="675-700",IF($Y$24="Yes",'Data Tables'!AC27,'Data Tables'!AD27),IF($Y$23="700-750",IF($Y$24="Yes",'Data Tables'!AI27,'Data Tables'!AJ27),IF($Y$23="750-800",IF($Y$24="Yes",'Data Tables'!AI27,'Data Tables'!AJ27),IF($Y$23="800-850",IF($Y$24="Yes",'Data Tables'!AI27,'Data Tables'!AJ27),IF($Y$24="Yes",'Data Tables'!AI27,'Data Tables'!AJ27))))))))))))))),0),"")</f>
        <v/>
      </c>
      <c r="AB32" s="285" t="str">
        <f>IF($Y$16="Yes",IF($Y32="Yes",IF($Y$21="Wensum",(IF($Y$22="Freely draining",IF($Y$23="550-575",IF($Y$24="Yes",'Data Tables'!AM5,'Data Tables'!AN5),IF($Y$23="575-600",IF($Y$24="Yes",'Data Tables'!AM5,'Data Tables'!AN5),IF($Y$23="600-625",IF($Y$24="Yes",'Data Tables'!AM5,'Data Tables'!AN5),IF($Y$23="625-650",IF($Y$24="Yes",'Data Tables'!AM5,'Data Tables'!AN5),IF($Y$23="650-675",IF($Y$24="Yes",'Data Tables'!AM5,'Data Tables'!AN5),IF($Y$23="675-700",IF($Y$24="Yes",'Data Tables'!AM5,'Data Tables'!AN5),IF($Y$23="700-750",IF($Y$24="Yes",'Data Tables'!AS5,'Data Tables'!AT5),IF($Y$23="750-800",IF($Y$24="Yes",'Data Tables'!AS5,'Data Tables'!AT5),IF($Y$23="800-850",IF($Y$24="Yes",'Data Tables'!AS5,'Data Tables'!AT5),IF($Y$24="Yes",'Data Tables'!AS5,'Data Tables'!AT5)))))))))),IF($Y$22="Impermeable - drained for arable",IF($Y$23="550-575",IF($Y$24="Yes",'Data Tables'!AO5,'Data Tables'!AP5),IF($Y$23="575-600",IF($Y$24="Yes",'Data Tables'!AO5,'Data Tables'!AP5),IF($Y$23="600-625",IF($Y$24="Yes",'Data Tables'!AO5,'Data Tables'!AP5),IF($Y$23="625-650",IF($Y$24="Yes",'Data Tables'!AO5,'Data Tables'!AP5),IF($Y$23="650-675",IF($Y$24="Yes",'Data Tables'!AO5,'Data Tables'!AP5),IF($Y$23="675-700",IF($Y$24="Yes",'Data Tables'!AO5,'Data Tables'!AP5),IF($Y$23="700-750",IF($Y$24="Yes",'Data Tables'!AU5,'Data Tables'!AV5),IF($Y$23="750-800",IF($Y$24="Yes",'Data Tables'!AU5,'Data Tables'!AV5),IF($Y$23="800-850",IF($Y$24="Yes",'Data Tables'!AU5,'Data Tables'!AV5),IF($Y$24="Yes",'Data Tables'!AU5,'Data Tables'!AV5)))))))))),IF($Y$23="550-575",IF($Y$24="Yes",'Data Tables'!AQ5,'Data Tables'!AR5),IF($Y$23="575-600",IF($Y$24="Yes",'Data Tables'!AQ5,'Data Tables'!AR5),IF($Y$23="600-625",IF($Y$24="Yes",'Data Tables'!AQ5,'Data Tables'!AR5),IF($Y$23="625-650",IF($Y$24="Yes",'Data Tables'!AQ5,'Data Tables'!AR5),IF($Y$23="650-675",IF($Y$24="Yes",'Data Tables'!AQ5,'Data Tables'!AR5),IF($Y$23="675-700",IF($Y$24="Yes",'Data Tables'!AQ5,'Data Tables'!AR5),IF($Y$23="700-750",IF($Y$24="Yes",'Data Tables'!AW5,'Data Tables'!AX5),IF($Y$23="750-800",IF($Y$24="Yes",'Data Tables'!AW5,'Data Tables'!AX5),IF($Y$23="800-850",IF($Y$24="Yes",'Data Tables'!AW5,'Data Tables'!AX5),IF($Y$24="Yes",'Data Tables'!AW5,'Data Tables'!AX5))))))))))))),IF($Y$21="Yare",(IF($Y$22="Freely draining",IF($Y$23="550-575",IF($Y$24="Yes",'Data Tables'!AM16,'Data Tables'!AN16),IF($Y$23="575-600",IF($Y$24="Yes",'Data Tables'!AM16,'Data Tables'!AN16),IF($Y$23="600-625",IF($Y$24="Yes",'Data Tables'!AM16,'Data Tables'!AN16),IF($Y$23="625-650",IF($Y$24="Yes",'Data Tables'!AM16,'Data Tables'!AN16),IF($Y$23="650-675",IF($Y$24="Yes",'Data Tables'!AM16,'Data Tables'!AN16),IF($Y$23="675-700",IF($Y$24="Yes",'Data Tables'!AM16,'Data Tables'!AN16),IF($Y$23="700-750",IF($Y$24="Yes",'Data Tables'!AS16,'Data Tables'!AT16),IF($Y$23="750-800",IF($Y$24="Yes",'Data Tables'!AS16,'Data Tables'!AT16),IF($Y$23="800-850",IF($Y$24="Yes",'Data Tables'!AS16,'Data Tables'!AT16),IF($Y$24="Yes",'Data Tables'!AS16,'Data Tables'!AT16)))))))))),IF($Y$22="Impermeable - drained for arable",IF($Y$23="550-575",IF($Y$24="Yes",'Data Tables'!AO16,'Data Tables'!AP16),IF($Y$23="575-600",IF($Y$24="Yes",'Data Tables'!AO16,'Data Tables'!AP16),IF($Y$23="600-625",IF($Y$24="Yes",'Data Tables'!AO16,'Data Tables'!AP16),IF($Y$23="625-650",IF($Y$24="Yes",'Data Tables'!AO16,'Data Tables'!AP16),IF($Y$23="650-675",IF($Y$24="Yes",'Data Tables'!AO16,'Data Tables'!AP16),IF($Y$23="675-700",IF($Y$24="Yes",'Data Tables'!AO16,'Data Tables'!AP16),IF($Y$23="700-750",IF($Y$24="Yes",'Data Tables'!AU16,'Data Tables'!AV16),IF($Y$23="750-800",IF($Y$24="Yes",'Data Tables'!AU16,'Data Tables'!AV16),IF($Y$23="800-850",IF($Y$24="Yes",'Data Tables'!AU16,'Data Tables'!AV16),IF($Y$24="Yes",'Data Tables'!AU16,'Data Tables'!AV16)))))))))),IF($Y$23="550-575",IF($Y$24="Yes",'Data Tables'!AQ16,'Data Tables'!AR16),IF($Y$23="575-600",IF($Y$24="Yes",'Data Tables'!AQ16,'Data Tables'!AR16),IF($Y$23="600-625",IF($Y$24="Yes",'Data Tables'!AQ16,'Data Tables'!AR16),IF($Y$23="625-650",IF($Y$24="Yes",'Data Tables'!AQ16,'Data Tables'!AR16),IF($Y$23="650-675",IF($Y$24="Yes",'Data Tables'!AQ16,'Data Tables'!AR16),IF($Y$23="675-700",IF($Y$24="Yes",'Data Tables'!AQ16,'Data Tables'!AR16),IF($Y$23="700-750",IF($Y$24="Yes",'Data Tables'!AW16,'Data Tables'!AX16),IF($Y$23="750-800",IF($Y$24="Yes",'Data Tables'!AW16,'Data Tables'!AX16),IF($Y$23="800-850",IF($Y$24="Yes",'Data Tables'!AW16,'Data Tables'!AX16),IF($Y$24="Yes",'Data Tables'!AW16,'Data Tables'!AX16))))))))))))),(IF($Y$22="Freely draining",IF($Y$23="550-575",IF($Y$24="Yes",'Data Tables'!AG27,'Data Tables'!AH27),IF($Y$23="575-600",IF($Y$24="Yes",'Data Tables'!AG27,'Data Tables'!AH27),IF($Y$23="600-625",IF($Y$24="Yes",'Data Tables'!AM27,'Data Tables'!AN27),IF($Y$23="625-650",IF($Y$24="Yes",'Data Tables'!AM27,'Data Tables'!AN27),IF($Y$23="650-675",IF($Y$24="Yes",'Data Tables'!AM27,'Data Tables'!AN27),IF($Y$23="675-700",IF($Y$24="Yes",'Data Tables'!AM27,'Data Tables'!AN27),IF($Y$23="700-750",IF($Y$24="Yes",'Data Tables'!AS27,'Data Tables'!AT27),IF($Y$23="750-800",IF($Y$24="Yes",'Data Tables'!AS27,'Data Tables'!AT27),IF($Y$23="800-850",IF($Y$24="Yes",'Data Tables'!AS27,'Data Tables'!AT27),IF($Y$24="Yes",'Data Tables'!AS27,'Data Tables'!AT27)))))))))),IF($Y$22="Impermeable - drained for arable",IF($Y$23="550-575",IF($Y$24="Yes",'Data Tables'!AI27,'Data Tables'!AJ27),IF($Y$23="575-600",IF($Y$24="Yes",'Data Tables'!AI27,'Data Tables'!AJ27),IF($Y$23="600-625",IF($Y$24="Yes",'Data Tables'!AO27,'Data Tables'!AP27),IF($Y$23="625-650",IF($Y$24="Yes",'Data Tables'!AO27,'Data Tables'!AP27),IF($Y$23="650-675",IF($Y$24="Yes",'Data Tables'!AO27,'Data Tables'!AP27),IF($Y$23="675-700",IF($Y$24="Yes",'Data Tables'!AO27,'Data Tables'!AP27),IF($Y$23="700-750",IF($Y$24="Yes",'Data Tables'!AU27,'Data Tables'!AV27),IF($Y$23="750-800",IF($Y$24="Yes",'Data Tables'!AU27,'Data Tables'!AV27),IF($Y$23="800-850",IF($Y$24="Yes",'Data Tables'!AU27,'Data Tables'!AV27),IF($Y$24="Yes",'Data Tables'!AU27,'Data Tables'!AV27)))))))))),IF($Y$23="550-575",IF($Y$24="Yes",'Data Tables'!AK27,'Data Tables'!AL27),IF($Y$23="575-600",IF($Y$24="Yes",'Data Tables'!AK27,'Data Tables'!AL27),IF($Y$23="600-625",IF($Y$24="Yes",'Data Tables'!AQ27,'Data Tables'!AR27),IF($Y$23="625-650",IF($Y$24="Yes",'Data Tables'!AQ27,'Data Tables'!AR27),IF($Y$23="650-675",IF($Y$24="Yes",'Data Tables'!AQ27,'Data Tables'!AR27),IF($Y$23="675-700",IF($Y$24="Yes",'Data Tables'!AQ27,'Data Tables'!AR27),IF($Y$23="700-750",IF($Y$24="Yes",'Data Tables'!AW27,'Data Tables'!AX27),IF($Y$23="750-800",IF($Y$24="Yes",'Data Tables'!AW27,'Data Tables'!AX27),IF($Y$23="800-850",IF($Y$24="Yes",'Data Tables'!AW27,'Data Tables'!AX27),IF($Y$24="Yes",'Data Tables'!AW27,'Data Tables'!AX27))))))))))))))),0),"")</f>
        <v/>
      </c>
      <c r="AC32" s="313"/>
      <c r="AF32" s="94"/>
      <c r="AG32" s="94"/>
      <c r="AH32" s="94"/>
      <c r="AI32" s="94"/>
      <c r="AJ32" s="94"/>
      <c r="AK32" s="94"/>
      <c r="AL32" s="94"/>
      <c r="AM32" s="94"/>
      <c r="AN32" s="94"/>
      <c r="AO32" s="94"/>
      <c r="AP32" s="94"/>
      <c r="AQ32" s="94"/>
      <c r="AR32" s="94"/>
      <c r="AT32" s="94"/>
      <c r="AU32" s="94"/>
      <c r="AV32" s="94"/>
      <c r="AW32" s="94"/>
      <c r="AX32" s="94"/>
      <c r="AY32" s="94"/>
      <c r="AZ32" s="94"/>
      <c r="BA32" s="94"/>
    </row>
    <row r="33" spans="2:53" ht="15.95" customHeight="1" x14ac:dyDescent="0.25">
      <c r="B33" s="46"/>
      <c r="C33" s="42"/>
      <c r="D33" s="227"/>
      <c r="E33" s="432" t="str">
        <f>'Stage 2'!F28</f>
        <v>Lowland grazing</v>
      </c>
      <c r="F33" s="432"/>
      <c r="G33" s="432"/>
      <c r="H33" s="432"/>
      <c r="I33" s="432"/>
      <c r="J33" s="49"/>
      <c r="K33" s="315" t="str">
        <f>IF('Stage 2'!$K28&gt;0,'Stage 2'!O28/'Stage 2'!$K28,"")</f>
        <v/>
      </c>
      <c r="L33" s="230"/>
      <c r="M33" s="273" t="str">
        <f>IF('Stage 2'!$K28&gt;0,'Stage 2'!Q28/'Stage 2'!$K28,"")</f>
        <v/>
      </c>
      <c r="N33" s="238" t="s">
        <v>62</v>
      </c>
      <c r="O33" s="240" t="s">
        <v>81</v>
      </c>
      <c r="P33" s="258"/>
      <c r="Q33" s="49"/>
      <c r="R33" s="49"/>
      <c r="S33" s="49"/>
      <c r="T33" s="432" t="str">
        <f t="shared" si="0"/>
        <v>Lowland grazing</v>
      </c>
      <c r="U33" s="432"/>
      <c r="V33" s="432"/>
      <c r="W33" s="432"/>
      <c r="X33" s="432"/>
      <c r="Y33" s="238" t="s">
        <v>62</v>
      </c>
      <c r="Z33" s="49"/>
      <c r="AA33" s="285" t="str">
        <f>IF($Y$16="Yes",IF($Y33="Yes",IF($Y$21="Wensum",(IF($Y$22="Freely draining",IF($Y$23="550-575",IF($Y$24="Yes",'Data Tables'!Y6,'Data Tables'!Z6),IF($Y$23="575-600",IF($Y$24="Yes",'Data Tables'!Y6,'Data Tables'!Z6),IF($Y$23="600-625",IF($Y$24="Yes",'Data Tables'!Y6,'Data Tables'!Z6),IF($Y$23="625-650",IF($Y$24="Yes",'Data Tables'!Y6,'Data Tables'!Z6),IF($Y$23="650-675",IF($Y$24="Yes",'Data Tables'!Y6,'Data Tables'!Z6),IF($Y$23="675-700",IF($Y$24="Yes",'Data Tables'!Y6,'Data Tables'!Z6),IF($Y$23="700-750",IF($Y$24="Yes",'Data Tables'!AE6,'Data Tables'!AF6),IF($Y$23="750-800",IF($Y$24="Yes",'Data Tables'!AE6,'Data Tables'!AF6),IF($Y$23="800-850",IF($Y$24="Yes",'Data Tables'!AE6,'Data Tables'!AF6),IF($Y$24="Yes",'Data Tables'!AE6,'Data Tables'!AF6)))))))))),IF($Y$22="Impermeable - drained for arable",IF($Y$23="550-575",IF($Y$24="Yes",'Data Tables'!AA6,'Data Tables'!AB6),IF($Y$23="575-600",IF($Y$24="Yes",'Data Tables'!AA6,'Data Tables'!AB6),IF($Y$23="600-625",IF($Y$24="Yes",'Data Tables'!AA6,'Data Tables'!AB6),IF($Y$23="625-650",IF($Y$24="Yes",'Data Tables'!AA6,'Data Tables'!AB6),IF($Y$23="650-675",IF($Y$24="Yes",'Data Tables'!AA6,'Data Tables'!AB6),IF($Y$23="675-700",IF($Y$24="Yes",'Data Tables'!AA6,'Data Tables'!AB6),IF($Y$23="700-750",IF($Y$24="Yes",'Data Tables'!AG6,'Data Tables'!AH6),IF($Y$23="750-800",IF($Y$24="Yes",'Data Tables'!AG6,'Data Tables'!AH6),IF($Y$23="800-850",IF($Y$24="Yes",'Data Tables'!AG6,'Data Tables'!AH6),IF($Y$24="Yes",'Data Tables'!AG6,'Data Tables'!AH6)))))))))),IF($Y$23="550-575",IF($Y$24="Yes",'Data Tables'!AC6,'Data Tables'!AD6),IF($Y$23="575-600",IF($Y$24="Yes",'Data Tables'!AC6,'Data Tables'!AD6),IF($Y$23="600-625",IF($Y$24="Yes",'Data Tables'!AC6,'Data Tables'!AD6),IF($Y$23="625-650",IF($Y$24="Yes",'Data Tables'!AC6,'Data Tables'!AD6),IF($Y$23="650-675",IF($Y$24="Yes",'Data Tables'!AC6,'Data Tables'!AD6),IF($Y$23="675-700",IF($Y$24="Yes",'Data Tables'!AC6,'Data Tables'!AD6),IF($Y$23="700-750",IF($Y$24="Yes",'Data Tables'!AI6,'Data Tables'!AJ6),IF($Y$23="750-800",IF($Y$24="Yes",'Data Tables'!AI6,'Data Tables'!AJ6),IF($Y$23="800-850",IF($Y$24="Yes",'Data Tables'!AI6,'Data Tables'!AJ6),IF($Y$24="Yes",'Data Tables'!AI6,'Data Tables'!AJ6))))))))))))),IF($Y$21="Yare",(IF($Y$22="Freely draining",IF($Y$23="550-575",IF($Y$24="Yes",'Data Tables'!Y17,'Data Tables'!Z17),IF($Y$23="575-600",IF($Y$24="Yes",'Data Tables'!Y17,'Data Tables'!Z17),IF($Y$23="600-625",IF($Y$24="Yes",'Data Tables'!Y17,'Data Tables'!Z17),IF($Y$23="625-650",IF($Y$24="Yes",'Data Tables'!Y17,'Data Tables'!Z17),IF($Y$23="650-675",IF($Y$24="Yes",'Data Tables'!Y17,'Data Tables'!Z17),IF($Y$23="675-700",IF($Y$24="Yes",'Data Tables'!Y17,'Data Tables'!Z17),IF($Y$23="700-750",IF($Y$24="Yes",'Data Tables'!AE17,'Data Tables'!AF17),IF($Y$23="750-800",IF($Y$24="Yes",'Data Tables'!AE17,'Data Tables'!AF17),IF($Y$23="800-850",IF($Y$24="Yes",'Data Tables'!AE17,'Data Tables'!AF17),IF($Y$24="Yes",'Data Tables'!AE17,'Data Tables'!AF17)))))))))),IF($Y$22="Impermeable - drained for arable",IF($Y$23="550-575",IF($Y$24="Yes",'Data Tables'!AA17,'Data Tables'!AB17),IF($Y$23="575-600",IF($Y$24="Yes",'Data Tables'!AA17,'Data Tables'!AB17),IF($Y$23="600-625",IF($Y$24="Yes",'Data Tables'!AA17,'Data Tables'!AB17),IF($Y$23="625-650",IF($Y$24="Yes",'Data Tables'!AA17,'Data Tables'!AB17),IF($Y$23="650-675",IF($Y$24="Yes",'Data Tables'!AA17,'Data Tables'!AB17),IF($Y$23="675-700",IF($Y$24="Yes",'Data Tables'!AA17,'Data Tables'!AB17),IF($Y$23="700-750",IF($Y$24="Yes",'Data Tables'!AG17,'Data Tables'!AH17),IF($Y$23="750-800",IF($Y$24="Yes",'Data Tables'!AG17,'Data Tables'!AH17),IF($Y$23="800-850",IF($Y$24="Yes",'Data Tables'!AG17,'Data Tables'!AH17),IF($Y$24="Yes",'Data Tables'!AG17,'Data Tables'!AH17)))))))))),IF($Y$23="550-575",IF($Y$24="Yes",'Data Tables'!AC17,'Data Tables'!AD17),IF($Y$23="575-600",IF($Y$24="Yes",'Data Tables'!AC17,'Data Tables'!AD17),IF($Y$23="600-625",IF($Y$24="Yes",'Data Tables'!AC17,'Data Tables'!AD17),IF($Y$23="625-650",IF($Y$24="Yes",'Data Tables'!AC17,'Data Tables'!AD17),IF($Y$23="650-675",IF($Y$24="Yes",'Data Tables'!AC17,'Data Tables'!AD17),IF($Y$23="675-700",IF($Y$24="Yes",'Data Tables'!AC17,'Data Tables'!AD17),IF($Y$23="700-750",IF($Y$24="Yes",'Data Tables'!AI17,'Data Tables'!AJ17),IF($Y$23="750-800",IF($Y$24="Yes",'Data Tables'!AI17,'Data Tables'!AJ17),IF($Y$23="800-850",IF($Y$24="Yes",'Data Tables'!AI17,'Data Tables'!AJ17),IF($Y$24="Yes",'Data Tables'!AI17,'Data Tables'!AJ17))))))))))))),(IF($Y$22="Freely draining",IF($Y$23="550-575",IF($Y$24="Yes",'Data Tables'!S28,'Data Tables'!T28),IF($Y$23="575-600",IF($Y$24="Yes",'Data Tables'!S28,'Data Tables'!T28),IF($Y$23="600-625",IF($Y$24="Yes",'Data Tables'!Y28,'Data Tables'!Z28),IF($Y$23="625-650",IF($Y$24="Yes",'Data Tables'!Y28,'Data Tables'!Z28),IF($Y$23="650-675",IF($Y$24="Yes",'Data Tables'!Y28,'Data Tables'!Z28),IF($Y$23="675-700",IF($Y$24="Yes",'Data Tables'!Y28,'Data Tables'!Z28),IF($Y$23="700-750",IF($Y$24="Yes",'Data Tables'!AE28,'Data Tables'!AF28),IF($Y$23="750-800",IF($Y$24="Yes",'Data Tables'!AE28,'Data Tables'!AF28),IF($Y$23="800-850",IF($Y$24="Yes",'Data Tables'!AE28,'Data Tables'!AF28),IF($Y$24="Yes",'Data Tables'!AE28,'Data Tables'!AF28)))))))))),IF($Y$22="Impermeable - drained for arable",IF($Y$23="550-575",IF($Y$24="Yes",'Data Tables'!U28,'Data Tables'!V28),IF($Y$23="575-600",IF($Y$24="Yes",'Data Tables'!U28,'Data Tables'!V28),IF($Y$23="600-625",IF($Y$24="Yes",'Data Tables'!AA28,'Data Tables'!AB28),IF($Y$23="625-650",IF($Y$24="Yes",'Data Tables'!AA28,'Data Tables'!AB28),IF($Y$23="650-675",IF($Y$24="Yes",'Data Tables'!AA28,'Data Tables'!AB28),IF($Y$23="675-700",IF($Y$24="Yes",'Data Tables'!AA28,'Data Tables'!AB28),IF($Y$23="700-750",IF($Y$24="Yes",'Data Tables'!AG28,'Data Tables'!AH28),IF($Y$23="750-800",IF($Y$24="Yes",'Data Tables'!AG28,'Data Tables'!AH28),IF($Y$23="800-850",IF($Y$24="Yes",'Data Tables'!AG28,'Data Tables'!AH28),IF($Y$24="Yes",'Data Tables'!AG28,'Data Tables'!AH28)))))))))),IF($Y$23="550-575",IF($Y$24="Yes",'Data Tables'!W28,'Data Tables'!X28),IF($Y$23="575-600",IF($Y$24="Yes",'Data Tables'!W28,'Data Tables'!X28),IF($Y$23="600-625",IF($Y$24="Yes",'Data Tables'!AC28,'Data Tables'!AD28),IF($Y$23="625-650",IF($Y$24="Yes",'Data Tables'!AC28,'Data Tables'!AD28),IF($Y$23="650-675",IF($Y$24="Yes",'Data Tables'!AC28,'Data Tables'!AD28),IF($Y$23="675-700",IF($Y$24="Yes",'Data Tables'!AC28,'Data Tables'!AD28),IF($Y$23="700-750",IF($Y$24="Yes",'Data Tables'!AI28,'Data Tables'!AJ28),IF($Y$23="750-800",IF($Y$24="Yes",'Data Tables'!AI28,'Data Tables'!AJ28),IF($Y$23="800-850",IF($Y$24="Yes",'Data Tables'!AI28,'Data Tables'!AJ28),IF($Y$24="Yes",'Data Tables'!AI28,'Data Tables'!AJ28))))))))))))))),0),"")</f>
        <v/>
      </c>
      <c r="AB33" s="285" t="str">
        <f>IF($Y$16="Yes",IF($Y33="Yes",IF($Y$21="Wensum",(IF($Y$22="Freely draining",IF($Y$23="550-575",IF($Y$24="Yes",'Data Tables'!AM6,'Data Tables'!AN6),IF($Y$23="575-600",IF($Y$24="Yes",'Data Tables'!AM6,'Data Tables'!AN6),IF($Y$23="600-625",IF($Y$24="Yes",'Data Tables'!AM6,'Data Tables'!AN6),IF($Y$23="625-650",IF($Y$24="Yes",'Data Tables'!AM6,'Data Tables'!AN6),IF($Y$23="650-675",IF($Y$24="Yes",'Data Tables'!AM6,'Data Tables'!AN6),IF($Y$23="675-700",IF($Y$24="Yes",'Data Tables'!AM6,'Data Tables'!AN6),IF($Y$23="700-750",IF($Y$24="Yes",'Data Tables'!AS6,'Data Tables'!AT6),IF($Y$23="750-800",IF($Y$24="Yes",'Data Tables'!AS6,'Data Tables'!AT6),IF($Y$23="800-850",IF($Y$24="Yes",'Data Tables'!AS6,'Data Tables'!AT6),IF($Y$24="Yes",'Data Tables'!AS6,'Data Tables'!AT6)))))))))),IF($Y$22="Impermeable - drained for arable",IF($Y$23="550-575",IF($Y$24="Yes",'Data Tables'!AO6,'Data Tables'!AP6),IF($Y$23="575-600",IF($Y$24="Yes",'Data Tables'!AO6,'Data Tables'!AP6),IF($Y$23="600-625",IF($Y$24="Yes",'Data Tables'!AO6,'Data Tables'!AP6),IF($Y$23="625-650",IF($Y$24="Yes",'Data Tables'!AO6,'Data Tables'!AP6),IF($Y$23="650-675",IF($Y$24="Yes",'Data Tables'!AO6,'Data Tables'!AP6),IF($Y$23="675-700",IF($Y$24="Yes",'Data Tables'!AO6,'Data Tables'!AP6),IF($Y$23="700-750",IF($Y$24="Yes",'Data Tables'!AU6,'Data Tables'!AV6),IF($Y$23="750-800",IF($Y$24="Yes",'Data Tables'!AU6,'Data Tables'!AV6),IF($Y$23="800-850",IF($Y$24="Yes",'Data Tables'!AU6,'Data Tables'!AV6),IF($Y$24="Yes",'Data Tables'!AU6,'Data Tables'!AV6)))))))))),IF($Y$23="550-575",IF($Y$24="Yes",'Data Tables'!AQ6,'Data Tables'!AR6),IF($Y$23="575-600",IF($Y$24="Yes",'Data Tables'!AQ6,'Data Tables'!AR6),IF($Y$23="600-625",IF($Y$24="Yes",'Data Tables'!AQ6,'Data Tables'!AR6),IF($Y$23="625-650",IF($Y$24="Yes",'Data Tables'!AQ6,'Data Tables'!AR6),IF($Y$23="650-675",IF($Y$24="Yes",'Data Tables'!AQ6,'Data Tables'!AR6),IF($Y$23="675-700",IF($Y$24="Yes",'Data Tables'!AQ6,'Data Tables'!AR6),IF($Y$23="700-750",IF($Y$24="Yes",'Data Tables'!AW6,'Data Tables'!AX6),IF($Y$23="750-800",IF($Y$24="Yes",'Data Tables'!AW6,'Data Tables'!AX6),IF($Y$23="800-850",IF($Y$24="Yes",'Data Tables'!AW6,'Data Tables'!AX6),IF($Y$24="Yes",'Data Tables'!AW6,'Data Tables'!AX6))))))))))))),IF($Y$21="Yare",(IF($Y$22="Freely draining",IF($Y$23="550-575",IF($Y$24="Yes",'Data Tables'!AM17,'Data Tables'!AN17),IF($Y$23="575-600",IF($Y$24="Yes",'Data Tables'!AM17,'Data Tables'!AN17),IF($Y$23="600-625",IF($Y$24="Yes",'Data Tables'!AM17,'Data Tables'!AN17),IF($Y$23="625-650",IF($Y$24="Yes",'Data Tables'!AM17,'Data Tables'!AN17),IF($Y$23="650-675",IF($Y$24="Yes",'Data Tables'!AM17,'Data Tables'!AN17),IF($Y$23="675-700",IF($Y$24="Yes",'Data Tables'!AM17,'Data Tables'!AN17),IF($Y$23="700-750",IF($Y$24="Yes",'Data Tables'!AS17,'Data Tables'!AT17),IF($Y$23="750-800",IF($Y$24="Yes",'Data Tables'!AS17,'Data Tables'!AT17),IF($Y$23="800-850",IF($Y$24="Yes",'Data Tables'!AS17,'Data Tables'!AT17),IF($Y$24="Yes",'Data Tables'!AS17,'Data Tables'!AT17)))))))))),IF($Y$22="Impermeable - drained for arable",IF($Y$23="550-575",IF($Y$24="Yes",'Data Tables'!AO17,'Data Tables'!AP17),IF($Y$23="575-600",IF($Y$24="Yes",'Data Tables'!AO17,'Data Tables'!AP17),IF($Y$23="600-625",IF($Y$24="Yes",'Data Tables'!AO17,'Data Tables'!AP17),IF($Y$23="625-650",IF($Y$24="Yes",'Data Tables'!AO17,'Data Tables'!AP17),IF($Y$23="650-675",IF($Y$24="Yes",'Data Tables'!AO17,'Data Tables'!AP17),IF($Y$23="675-700",IF($Y$24="Yes",'Data Tables'!AO17,'Data Tables'!AP17),IF($Y$23="700-750",IF($Y$24="Yes",'Data Tables'!AU17,'Data Tables'!AV17),IF($Y$23="750-800",IF($Y$24="Yes",'Data Tables'!AU17,'Data Tables'!AV17),IF($Y$23="800-850",IF($Y$24="Yes",'Data Tables'!AU17,'Data Tables'!AV17),IF($Y$24="Yes",'Data Tables'!AU17,'Data Tables'!AV17)))))))))),IF($Y$23="550-575",IF($Y$24="Yes",'Data Tables'!AQ17,'Data Tables'!AR17),IF($Y$23="575-600",IF($Y$24="Yes",'Data Tables'!AQ17,'Data Tables'!AR17),IF($Y$23="600-625",IF($Y$24="Yes",'Data Tables'!AQ17,'Data Tables'!AR17),IF($Y$23="625-650",IF($Y$24="Yes",'Data Tables'!AQ17,'Data Tables'!AR17),IF($Y$23="650-675",IF($Y$24="Yes",'Data Tables'!AQ17,'Data Tables'!AR17),IF($Y$23="675-700",IF($Y$24="Yes",'Data Tables'!AQ17,'Data Tables'!AR17),IF($Y$23="700-750",IF($Y$24="Yes",'Data Tables'!AW17,'Data Tables'!AX17),IF($Y$23="750-800",IF($Y$24="Yes",'Data Tables'!AW17,'Data Tables'!AX17),IF($Y$23="800-850",IF($Y$24="Yes",'Data Tables'!AW17,'Data Tables'!AX17),IF($Y$24="Yes",'Data Tables'!AW17,'Data Tables'!AX17))))))))))))),(IF($Y$22="Freely draining",IF($Y$23="550-575",IF($Y$24="Yes",'Data Tables'!AG28,'Data Tables'!AH28),IF($Y$23="575-600",IF($Y$24="Yes",'Data Tables'!AG28,'Data Tables'!AH28),IF($Y$23="600-625",IF($Y$24="Yes",'Data Tables'!AM28,'Data Tables'!AN28),IF($Y$23="625-650",IF($Y$24="Yes",'Data Tables'!AM28,'Data Tables'!AN28),IF($Y$23="650-675",IF($Y$24="Yes",'Data Tables'!AM28,'Data Tables'!AN28),IF($Y$23="675-700",IF($Y$24="Yes",'Data Tables'!AM28,'Data Tables'!AN28),IF($Y$23="700-750",IF($Y$24="Yes",'Data Tables'!AS28,'Data Tables'!AT28),IF($Y$23="750-800",IF($Y$24="Yes",'Data Tables'!AS28,'Data Tables'!AT28),IF($Y$23="800-850",IF($Y$24="Yes",'Data Tables'!AS28,'Data Tables'!AT28),IF($Y$24="Yes",'Data Tables'!AS28,'Data Tables'!AT28)))))))))),IF($Y$22="Impermeable - drained for arable",IF($Y$23="550-575",IF($Y$24="Yes",'Data Tables'!AI28,'Data Tables'!AJ28),IF($Y$23="575-600",IF($Y$24="Yes",'Data Tables'!AI28,'Data Tables'!AJ28),IF($Y$23="600-625",IF($Y$24="Yes",'Data Tables'!AO28,'Data Tables'!AP28),IF($Y$23="625-650",IF($Y$24="Yes",'Data Tables'!AO28,'Data Tables'!AP28),IF($Y$23="650-675",IF($Y$24="Yes",'Data Tables'!AO28,'Data Tables'!AP28),IF($Y$23="675-700",IF($Y$24="Yes",'Data Tables'!AO28,'Data Tables'!AP28),IF($Y$23="700-750",IF($Y$24="Yes",'Data Tables'!AU28,'Data Tables'!AV28),IF($Y$23="750-800",IF($Y$24="Yes",'Data Tables'!AU28,'Data Tables'!AV28),IF($Y$23="800-850",IF($Y$24="Yes",'Data Tables'!AU28,'Data Tables'!AV28),IF($Y$24="Yes",'Data Tables'!AU28,'Data Tables'!AV28)))))))))),IF($Y$23="550-575",IF($Y$24="Yes",'Data Tables'!AK28,'Data Tables'!AL28),IF($Y$23="575-600",IF($Y$24="Yes",'Data Tables'!AK28,'Data Tables'!AL28),IF($Y$23="600-625",IF($Y$24="Yes",'Data Tables'!AQ28,'Data Tables'!AR28),IF($Y$23="625-650",IF($Y$24="Yes",'Data Tables'!AQ28,'Data Tables'!AR28),IF($Y$23="650-675",IF($Y$24="Yes",'Data Tables'!AQ28,'Data Tables'!AR28),IF($Y$23="675-700",IF($Y$24="Yes",'Data Tables'!AQ28,'Data Tables'!AR28),IF($Y$23="700-750",IF($Y$24="Yes",'Data Tables'!AW28,'Data Tables'!AX28),IF($Y$23="750-800",IF($Y$24="Yes",'Data Tables'!AW28,'Data Tables'!AX28),IF($Y$23="800-850",IF($Y$24="Yes",'Data Tables'!AW28,'Data Tables'!AX28),IF($Y$24="Yes",'Data Tables'!AW28,'Data Tables'!AX28))))))))))))))),0),"")</f>
        <v/>
      </c>
      <c r="AC33" s="313"/>
      <c r="AF33" s="94"/>
      <c r="AG33" s="94"/>
      <c r="AH33" s="94"/>
      <c r="AI33" s="94"/>
      <c r="AJ33" s="94"/>
      <c r="AK33" s="94"/>
      <c r="AL33" s="94"/>
      <c r="AM33" s="94"/>
      <c r="AN33" s="94"/>
      <c r="AO33" s="94"/>
      <c r="AP33" s="94"/>
      <c r="AQ33" s="94"/>
      <c r="AR33" s="94"/>
      <c r="AT33" s="94"/>
      <c r="AU33" s="94"/>
      <c r="AV33" s="94"/>
      <c r="AW33" s="94"/>
      <c r="AX33" s="94"/>
      <c r="AY33" s="94"/>
      <c r="AZ33" s="94"/>
      <c r="BA33" s="94"/>
    </row>
    <row r="34" spans="2:53" ht="15.95" customHeight="1" x14ac:dyDescent="0.25">
      <c r="B34" s="46"/>
      <c r="C34" s="42"/>
      <c r="D34" s="227"/>
      <c r="E34" s="432" t="str">
        <f>'Stage 2'!F29</f>
        <v>Mixed</v>
      </c>
      <c r="F34" s="432"/>
      <c r="G34" s="432"/>
      <c r="H34" s="432"/>
      <c r="I34" s="432"/>
      <c r="J34" s="49"/>
      <c r="K34" s="315" t="str">
        <f>IF('Stage 2'!$K29&gt;0,'Stage 2'!O29/'Stage 2'!$K29,"")</f>
        <v/>
      </c>
      <c r="L34" s="230"/>
      <c r="M34" s="273" t="str">
        <f>IF('Stage 2'!$K29&gt;0,'Stage 2'!Q29/'Stage 2'!$K29,"")</f>
        <v/>
      </c>
      <c r="N34" s="238" t="s">
        <v>62</v>
      </c>
      <c r="O34" s="240" t="s">
        <v>81</v>
      </c>
      <c r="P34" s="258"/>
      <c r="Q34" s="49"/>
      <c r="R34" s="49"/>
      <c r="S34" s="49"/>
      <c r="T34" s="432" t="str">
        <f t="shared" si="0"/>
        <v>Mixed</v>
      </c>
      <c r="U34" s="432"/>
      <c r="V34" s="432"/>
      <c r="W34" s="432"/>
      <c r="X34" s="432"/>
      <c r="Y34" s="238" t="s">
        <v>62</v>
      </c>
      <c r="Z34" s="49"/>
      <c r="AA34" s="285" t="str">
        <f>IF($Y$16="Yes",IF($Y34="Yes",IF($Y$21="Wensum",(IF($Y$22="Freely draining",IF($Y$23="550-575",IF($Y$24="Yes",'Data Tables'!Y7,'Data Tables'!Z7),IF($Y$23="575-600",IF($Y$24="Yes",'Data Tables'!Y7,'Data Tables'!Z7),IF($Y$23="600-625",IF($Y$24="Yes",'Data Tables'!Y7,'Data Tables'!Z7),IF($Y$23="625-650",IF($Y$24="Yes",'Data Tables'!Y7,'Data Tables'!Z7),IF($Y$23="650-675",IF($Y$24="Yes",'Data Tables'!Y7,'Data Tables'!Z7),IF($Y$23="675-700",IF($Y$24="Yes",'Data Tables'!Y7,'Data Tables'!Z7),IF($Y$23="700-750",IF($Y$24="Yes",'Data Tables'!AE7,'Data Tables'!AF7),IF($Y$23="750-800",IF($Y$24="Yes",'Data Tables'!AE7,'Data Tables'!AF7),IF($Y$23="800-850",IF($Y$24="Yes",'Data Tables'!AE7,'Data Tables'!AF7),IF($Y$24="Yes",'Data Tables'!AE7,'Data Tables'!AF7)))))))))),IF($Y$22="Impermeable - drained for arable",IF($Y$23="550-575",IF($Y$24="Yes",'Data Tables'!AA7,'Data Tables'!AB7),IF($Y$23="575-600",IF($Y$24="Yes",'Data Tables'!AA7,'Data Tables'!AB7),IF($Y$23="600-625",IF($Y$24="Yes",'Data Tables'!AA7,'Data Tables'!AB7),IF($Y$23="625-650",IF($Y$24="Yes",'Data Tables'!AA7,'Data Tables'!AB7),IF($Y$23="650-675",IF($Y$24="Yes",'Data Tables'!AA7,'Data Tables'!AB7),IF($Y$23="675-700",IF($Y$24="Yes",'Data Tables'!AA7,'Data Tables'!AB7),IF($Y$23="700-750",IF($Y$24="Yes",'Data Tables'!AG7,'Data Tables'!AH7),IF($Y$23="750-800",IF($Y$24="Yes",'Data Tables'!AG7,'Data Tables'!AH7),IF($Y$23="800-850",IF($Y$24="Yes",'Data Tables'!AG7,'Data Tables'!AH7),IF($Y$24="Yes",'Data Tables'!AG7,'Data Tables'!AH7)))))))))),IF($Y$23="550-575",IF($Y$24="Yes",'Data Tables'!AC7,'Data Tables'!AD7),IF($Y$23="575-600",IF($Y$24="Yes",'Data Tables'!AC7,'Data Tables'!AD7),IF($Y$23="600-625",IF($Y$24="Yes",'Data Tables'!AC7,'Data Tables'!AD7),IF($Y$23="625-650",IF($Y$24="Yes",'Data Tables'!AC7,'Data Tables'!AD7),IF($Y$23="650-675",IF($Y$24="Yes",'Data Tables'!AC7,'Data Tables'!AD7),IF($Y$23="675-700",IF($Y$24="Yes",'Data Tables'!AC7,'Data Tables'!AD7),IF($Y$23="700-750",IF($Y$24="Yes",'Data Tables'!AI7,'Data Tables'!AJ7),IF($Y$23="750-800",IF($Y$24="Yes",'Data Tables'!AI7,'Data Tables'!AJ7),IF($Y$23="800-850",IF($Y$24="Yes",'Data Tables'!AI7,'Data Tables'!AJ7),IF($Y$24="Yes",'Data Tables'!AI7,'Data Tables'!AJ7))))))))))))),IF($Y$21="Yare",(IF($Y$22="Freely draining",IF($Y$23="550-575",IF($Y$24="Yes",'Data Tables'!Y18,'Data Tables'!Z18),IF($Y$23="575-600",IF($Y$24="Yes",'Data Tables'!Y18,'Data Tables'!Z18),IF($Y$23="600-625",IF($Y$24="Yes",'Data Tables'!Y18,'Data Tables'!Z18),IF($Y$23="625-650",IF($Y$24="Yes",'Data Tables'!Y18,'Data Tables'!Z18),IF($Y$23="650-675",IF($Y$24="Yes",'Data Tables'!Y18,'Data Tables'!Z18),IF($Y$23="675-700",IF($Y$24="Yes",'Data Tables'!Y18,'Data Tables'!Z18),IF($Y$23="700-750",IF($Y$24="Yes",'Data Tables'!AE18,'Data Tables'!AF18),IF($Y$23="750-800",IF($Y$24="Yes",'Data Tables'!AE18,'Data Tables'!AF18),IF($Y$23="800-850",IF($Y$24="Yes",'Data Tables'!AE18,'Data Tables'!AF18),IF($Y$24="Yes",'Data Tables'!AE18,'Data Tables'!AF18)))))))))),IF($Y$22="Impermeable - drained for arable",IF($Y$23="550-575",IF($Y$24="Yes",'Data Tables'!AA18,'Data Tables'!AB18),IF($Y$23="575-600",IF($Y$24="Yes",'Data Tables'!AA18,'Data Tables'!AB18),IF($Y$23="600-625",IF($Y$24="Yes",'Data Tables'!AA18,'Data Tables'!AB18),IF($Y$23="625-650",IF($Y$24="Yes",'Data Tables'!AA18,'Data Tables'!AB18),IF($Y$23="650-675",IF($Y$24="Yes",'Data Tables'!AA18,'Data Tables'!AB18),IF($Y$23="675-700",IF($Y$24="Yes",'Data Tables'!AA18,'Data Tables'!AB18),IF($Y$23="700-750",IF($Y$24="Yes",'Data Tables'!AG18,'Data Tables'!AH18),IF($Y$23="750-800",IF($Y$24="Yes",'Data Tables'!AG18,'Data Tables'!AH18),IF($Y$23="800-850",IF($Y$24="Yes",'Data Tables'!AG18,'Data Tables'!AH18),IF($Y$24="Yes",'Data Tables'!AG18,'Data Tables'!AH18)))))))))),IF($Y$23="550-575",IF($Y$24="Yes",'Data Tables'!AC18,'Data Tables'!AD18),IF($Y$23="575-600",IF($Y$24="Yes",'Data Tables'!AC18,'Data Tables'!AD18),IF($Y$23="600-625",IF($Y$24="Yes",'Data Tables'!AC18,'Data Tables'!AD18),IF($Y$23="625-650",IF($Y$24="Yes",'Data Tables'!AC18,'Data Tables'!AD18),IF($Y$23="650-675",IF($Y$24="Yes",'Data Tables'!AC18,'Data Tables'!AD18),IF($Y$23="675-700",IF($Y$24="Yes",'Data Tables'!AC18,'Data Tables'!AD18),IF($Y$23="700-750",IF($Y$24="Yes",'Data Tables'!AI18,'Data Tables'!AJ18),IF($Y$23="750-800",IF($Y$24="Yes",'Data Tables'!AI18,'Data Tables'!AJ18),IF($Y$23="800-850",IF($Y$24="Yes",'Data Tables'!AI18,'Data Tables'!AJ18),IF($Y$24="Yes",'Data Tables'!AI18,'Data Tables'!AJ18))))))))))))),(IF($Y$22="Freely draining",IF($Y$23="550-575",IF($Y$24="Yes",'Data Tables'!S29,'Data Tables'!T29),IF($Y$23="575-600",IF($Y$24="Yes",'Data Tables'!S29,'Data Tables'!T29),IF($Y$23="600-625",IF($Y$24="Yes",'Data Tables'!Y29,'Data Tables'!Z29),IF($Y$23="625-650",IF($Y$24="Yes",'Data Tables'!Y29,'Data Tables'!Z29),IF($Y$23="650-675",IF($Y$24="Yes",'Data Tables'!Y29,'Data Tables'!Z29),IF($Y$23="675-700",IF($Y$24="Yes",'Data Tables'!Y29,'Data Tables'!Z29),IF($Y$23="700-750",IF($Y$24="Yes",'Data Tables'!AE29,'Data Tables'!AF29),IF($Y$23="750-800",IF($Y$24="Yes",'Data Tables'!AE29,'Data Tables'!AF29),IF($Y$23="800-850",IF($Y$24="Yes",'Data Tables'!AE29,'Data Tables'!AF29),IF($Y$24="Yes",'Data Tables'!AE29,'Data Tables'!AF29)))))))))),IF($Y$22="Impermeable - drained for arable",IF($Y$23="550-575",IF($Y$24="Yes",'Data Tables'!U29,'Data Tables'!V29),IF($Y$23="575-600",IF($Y$24="Yes",'Data Tables'!U29,'Data Tables'!V29),IF($Y$23="600-625",IF($Y$24="Yes",'Data Tables'!AA29,'Data Tables'!AB29),IF($Y$23="625-650",IF($Y$24="Yes",'Data Tables'!AA29,'Data Tables'!AB29),IF($Y$23="650-675",IF($Y$24="Yes",'Data Tables'!AA29,'Data Tables'!AB29),IF($Y$23="675-700",IF($Y$24="Yes",'Data Tables'!AA29,'Data Tables'!AB29),IF($Y$23="700-750",IF($Y$24="Yes",'Data Tables'!AG29,'Data Tables'!AH29),IF($Y$23="750-800",IF($Y$24="Yes",'Data Tables'!AG29,'Data Tables'!AH29),IF($Y$23="800-850",IF($Y$24="Yes",'Data Tables'!AG29,'Data Tables'!AH29),IF($Y$24="Yes",'Data Tables'!AG29,'Data Tables'!AH29)))))))))),IF($Y$23="550-575",IF($Y$24="Yes",'Data Tables'!W29,'Data Tables'!X29),IF($Y$23="575-600",IF($Y$24="Yes",'Data Tables'!W29,'Data Tables'!X29),IF($Y$23="600-625",IF($Y$24="Yes",'Data Tables'!AC29,'Data Tables'!AD29),IF($Y$23="625-650",IF($Y$24="Yes",'Data Tables'!AC29,'Data Tables'!AD29),IF($Y$23="650-675",IF($Y$24="Yes",'Data Tables'!AC29,'Data Tables'!AD29),IF($Y$23="675-700",IF($Y$24="Yes",'Data Tables'!AC29,'Data Tables'!AD29),IF($Y$23="700-750",IF($Y$24="Yes",'Data Tables'!AI29,'Data Tables'!AJ29),IF($Y$23="750-800",IF($Y$24="Yes",'Data Tables'!AI29,'Data Tables'!AJ29),IF($Y$23="800-850",IF($Y$24="Yes",'Data Tables'!AI29,'Data Tables'!AJ29),IF($Y$24="Yes",'Data Tables'!AI29,'Data Tables'!AJ29))))))))))))))),0),"")</f>
        <v/>
      </c>
      <c r="AB34" s="285" t="str">
        <f>IF($Y$16="Yes",IF($Y34="Yes",IF($Y$21="Wensum",(IF($Y$22="Freely draining",IF($Y$23="550-575",IF($Y$24="Yes",'Data Tables'!AM7,'Data Tables'!AN7),IF($Y$23="575-600",IF($Y$24="Yes",'Data Tables'!AM7,'Data Tables'!AN7),IF($Y$23="600-625",IF($Y$24="Yes",'Data Tables'!AM7,'Data Tables'!AN7),IF($Y$23="625-650",IF($Y$24="Yes",'Data Tables'!AM7,'Data Tables'!AN7),IF($Y$23="650-675",IF($Y$24="Yes",'Data Tables'!AM7,'Data Tables'!AN7),IF($Y$23="675-700",IF($Y$24="Yes",'Data Tables'!AM7,'Data Tables'!AN7),IF($Y$23="700-750",IF($Y$24="Yes",'Data Tables'!AS7,'Data Tables'!AT7),IF($Y$23="750-800",IF($Y$24="Yes",'Data Tables'!AS7,'Data Tables'!AT7),IF($Y$23="800-850",IF($Y$24="Yes",'Data Tables'!AS7,'Data Tables'!AT7),IF($Y$24="Yes",'Data Tables'!AS7,'Data Tables'!AT7)))))))))),IF($Y$22="Impermeable - drained for arable",IF($Y$23="550-575",IF($Y$24="Yes",'Data Tables'!AO7,'Data Tables'!AP7),IF($Y$23="575-600",IF($Y$24="Yes",'Data Tables'!AO7,'Data Tables'!AP7),IF($Y$23="600-625",IF($Y$24="Yes",'Data Tables'!AO7,'Data Tables'!AP7),IF($Y$23="625-650",IF($Y$24="Yes",'Data Tables'!AO7,'Data Tables'!AP7),IF($Y$23="650-675",IF($Y$24="Yes",'Data Tables'!AO7,'Data Tables'!AP7),IF($Y$23="675-700",IF($Y$24="Yes",'Data Tables'!AO7,'Data Tables'!AP7),IF($Y$23="700-750",IF($Y$24="Yes",'Data Tables'!AU7,'Data Tables'!AV7),IF($Y$23="750-800",IF($Y$24="Yes",'Data Tables'!AU7,'Data Tables'!AV7),IF($Y$23="800-850",IF($Y$24="Yes",'Data Tables'!AU7,'Data Tables'!AV7),IF($Y$24="Yes",'Data Tables'!AU7,'Data Tables'!AV7)))))))))),IF($Y$23="550-575",IF($Y$24="Yes",'Data Tables'!AQ7,'Data Tables'!AR7),IF($Y$23="575-600",IF($Y$24="Yes",'Data Tables'!AQ7,'Data Tables'!AR7),IF($Y$23="600-625",IF($Y$24="Yes",'Data Tables'!AQ7,'Data Tables'!AR7),IF($Y$23="625-650",IF($Y$24="Yes",'Data Tables'!AQ7,'Data Tables'!AR7),IF($Y$23="650-675",IF($Y$24="Yes",'Data Tables'!AQ7,'Data Tables'!AR7),IF($Y$23="675-700",IF($Y$24="Yes",'Data Tables'!AQ7,'Data Tables'!AR7),IF($Y$23="700-750",IF($Y$24="Yes",'Data Tables'!AW7,'Data Tables'!AX7),IF($Y$23="750-800",IF($Y$24="Yes",'Data Tables'!AW7,'Data Tables'!AX7),IF($Y$23="800-850",IF($Y$24="Yes",'Data Tables'!AW7,'Data Tables'!AX7),IF($Y$24="Yes",'Data Tables'!AW7,'Data Tables'!AX7))))))))))))),IF($Y$21="Yare",(IF($Y$22="Freely draining",IF($Y$23="550-575",IF($Y$24="Yes",'Data Tables'!AM18,'Data Tables'!AN18),IF($Y$23="575-600",IF($Y$24="Yes",'Data Tables'!AM18,'Data Tables'!AN18),IF($Y$23="600-625",IF($Y$24="Yes",'Data Tables'!AM18,'Data Tables'!AN18),IF($Y$23="625-650",IF($Y$24="Yes",'Data Tables'!AM18,'Data Tables'!AN18),IF($Y$23="650-675",IF($Y$24="Yes",'Data Tables'!AM18,'Data Tables'!AN18),IF($Y$23="675-700",IF($Y$24="Yes",'Data Tables'!AM18,'Data Tables'!AN18),IF($Y$23="700-750",IF($Y$24="Yes",'Data Tables'!AS18,'Data Tables'!AT18),IF($Y$23="750-800",IF($Y$24="Yes",'Data Tables'!AS18,'Data Tables'!AT18),IF($Y$23="800-850",IF($Y$24="Yes",'Data Tables'!AS18,'Data Tables'!AT18),IF($Y$24="Yes",'Data Tables'!AS18,'Data Tables'!AT18)))))))))),IF($Y$22="Impermeable - drained for arable",IF($Y$23="550-575",IF($Y$24="Yes",'Data Tables'!AO18,'Data Tables'!AP18),IF($Y$23="575-600",IF($Y$24="Yes",'Data Tables'!AO18,'Data Tables'!AP18),IF($Y$23="600-625",IF($Y$24="Yes",'Data Tables'!AO18,'Data Tables'!AP18),IF($Y$23="625-650",IF($Y$24="Yes",'Data Tables'!AO18,'Data Tables'!AP18),IF($Y$23="650-675",IF($Y$24="Yes",'Data Tables'!AO18,'Data Tables'!AP18),IF($Y$23="675-700",IF($Y$24="Yes",'Data Tables'!AO18,'Data Tables'!AP18),IF($Y$23="700-750",IF($Y$24="Yes",'Data Tables'!AU18,'Data Tables'!AV18),IF($Y$23="750-800",IF($Y$24="Yes",'Data Tables'!AU18,'Data Tables'!AV18),IF($Y$23="800-850",IF($Y$24="Yes",'Data Tables'!AU18,'Data Tables'!AV18),IF($Y$24="Yes",'Data Tables'!AU18,'Data Tables'!AV18)))))))))),IF($Y$23="550-575",IF($Y$24="Yes",'Data Tables'!AQ18,'Data Tables'!AR18),IF($Y$23="575-600",IF($Y$24="Yes",'Data Tables'!AQ18,'Data Tables'!AR18),IF($Y$23="600-625",IF($Y$24="Yes",'Data Tables'!AQ18,'Data Tables'!AR18),IF($Y$23="625-650",IF($Y$24="Yes",'Data Tables'!AQ18,'Data Tables'!AR18),IF($Y$23="650-675",IF($Y$24="Yes",'Data Tables'!AQ18,'Data Tables'!AR18),IF($Y$23="675-700",IF($Y$24="Yes",'Data Tables'!AQ18,'Data Tables'!AR18),IF($Y$23="700-750",IF($Y$24="Yes",'Data Tables'!AW18,'Data Tables'!AX18),IF($Y$23="750-800",IF($Y$24="Yes",'Data Tables'!AW18,'Data Tables'!AX18),IF($Y$23="800-850",IF($Y$24="Yes",'Data Tables'!AW18,'Data Tables'!AX18),IF($Y$24="Yes",'Data Tables'!AW18,'Data Tables'!AX18))))))))))))),(IF($Y$22="Freely draining",IF($Y$23="550-575",IF($Y$24="Yes",'Data Tables'!AG29,'Data Tables'!AH29),IF($Y$23="575-600",IF($Y$24="Yes",'Data Tables'!AG29,'Data Tables'!AH29),IF($Y$23="600-625",IF($Y$24="Yes",'Data Tables'!AM29,'Data Tables'!AN29),IF($Y$23="625-650",IF($Y$24="Yes",'Data Tables'!AM29,'Data Tables'!AN29),IF($Y$23="650-675",IF($Y$24="Yes",'Data Tables'!AM29,'Data Tables'!AN29),IF($Y$23="675-700",IF($Y$24="Yes",'Data Tables'!AM29,'Data Tables'!AN29),IF($Y$23="700-750",IF($Y$24="Yes",'Data Tables'!AS29,'Data Tables'!AT29),IF($Y$23="750-800",IF($Y$24="Yes",'Data Tables'!AS29,'Data Tables'!AT29),IF($Y$23="800-850",IF($Y$24="Yes",'Data Tables'!AS29,'Data Tables'!AT29),IF($Y$24="Yes",'Data Tables'!AS29,'Data Tables'!AT29)))))))))),IF($Y$22="Impermeable - drained for arable",IF($Y$23="550-575",IF($Y$24="Yes",'Data Tables'!AI29,'Data Tables'!AJ29),IF($Y$23="575-600",IF($Y$24="Yes",'Data Tables'!AI29,'Data Tables'!AJ29),IF($Y$23="600-625",IF($Y$24="Yes",'Data Tables'!AO29,'Data Tables'!AP29),IF($Y$23="625-650",IF($Y$24="Yes",'Data Tables'!AO29,'Data Tables'!AP29),IF($Y$23="650-675",IF($Y$24="Yes",'Data Tables'!AO29,'Data Tables'!AP29),IF($Y$23="675-700",IF($Y$24="Yes",'Data Tables'!AO29,'Data Tables'!AP29),IF($Y$23="700-750",IF($Y$24="Yes",'Data Tables'!AU29,'Data Tables'!AV29),IF($Y$23="750-800",IF($Y$24="Yes",'Data Tables'!AU29,'Data Tables'!AV29),IF($Y$23="800-850",IF($Y$24="Yes",'Data Tables'!AU29,'Data Tables'!AV29),IF($Y$24="Yes",'Data Tables'!AU29,'Data Tables'!AV29)))))))))),IF($Y$23="550-575",IF($Y$24="Yes",'Data Tables'!AK29,'Data Tables'!AL29),IF($Y$23="575-600",IF($Y$24="Yes",'Data Tables'!AK29,'Data Tables'!AL29),IF($Y$23="600-625",IF($Y$24="Yes",'Data Tables'!AQ29,'Data Tables'!AR29),IF($Y$23="625-650",IF($Y$24="Yes",'Data Tables'!AQ29,'Data Tables'!AR29),IF($Y$23="650-675",IF($Y$24="Yes",'Data Tables'!AQ29,'Data Tables'!AR29),IF($Y$23="675-700",IF($Y$24="Yes",'Data Tables'!AQ29,'Data Tables'!AR29),IF($Y$23="700-750",IF($Y$24="Yes",'Data Tables'!AW29,'Data Tables'!AX29),IF($Y$23="750-800",IF($Y$24="Yes",'Data Tables'!AW29,'Data Tables'!AX29),IF($Y$23="800-850",IF($Y$24="Yes",'Data Tables'!AW29,'Data Tables'!AX29),IF($Y$24="Yes",'Data Tables'!AW29,'Data Tables'!AX29))))))))))))))),0),"")</f>
        <v/>
      </c>
      <c r="AC34" s="313"/>
      <c r="AF34" s="94"/>
      <c r="AG34" s="94"/>
      <c r="AH34" s="94"/>
      <c r="AI34" s="94"/>
      <c r="AJ34" s="94"/>
      <c r="AK34" s="94"/>
      <c r="AL34" s="94"/>
      <c r="AM34" s="94"/>
      <c r="AN34" s="94"/>
      <c r="AO34" s="94"/>
      <c r="AP34" s="94"/>
      <c r="AQ34" s="94"/>
      <c r="AR34" s="94"/>
      <c r="AT34" s="94"/>
      <c r="AU34" s="94"/>
      <c r="AV34" s="94"/>
      <c r="AW34" s="94"/>
      <c r="AX34" s="94"/>
      <c r="AY34" s="94"/>
      <c r="AZ34" s="94"/>
      <c r="BA34" s="94"/>
    </row>
    <row r="35" spans="2:53" ht="15.95" customHeight="1" x14ac:dyDescent="0.25">
      <c r="B35" s="46"/>
      <c r="C35" s="42"/>
      <c r="D35" s="227"/>
      <c r="E35" s="432" t="str">
        <f>'Stage 2'!F30</f>
        <v>Poultry</v>
      </c>
      <c r="F35" s="432"/>
      <c r="G35" s="432"/>
      <c r="H35" s="432"/>
      <c r="I35" s="432"/>
      <c r="J35" s="49"/>
      <c r="K35" s="315" t="str">
        <f>IF('Stage 2'!$K30&gt;0,'Stage 2'!O30/'Stage 2'!$K30,"")</f>
        <v/>
      </c>
      <c r="L35" s="230"/>
      <c r="M35" s="273" t="str">
        <f>IF('Stage 2'!$K30&gt;0,'Stage 2'!Q30/'Stage 2'!$K30,"")</f>
        <v/>
      </c>
      <c r="N35" s="238" t="s">
        <v>62</v>
      </c>
      <c r="O35" s="240" t="s">
        <v>81</v>
      </c>
      <c r="P35" s="258"/>
      <c r="Q35" s="49"/>
      <c r="R35" s="49"/>
      <c r="S35" s="49"/>
      <c r="T35" s="432" t="str">
        <f t="shared" si="0"/>
        <v>Poultry</v>
      </c>
      <c r="U35" s="432"/>
      <c r="V35" s="432"/>
      <c r="W35" s="432"/>
      <c r="X35" s="432"/>
      <c r="Y35" s="238" t="s">
        <v>62</v>
      </c>
      <c r="Z35" s="49"/>
      <c r="AA35" s="285" t="str">
        <f>IF($Y$16="Yes",IF($Y35="Yes",IF($Y$21="Wensum",(IF($Y$22="Freely draining",IF($Y$23="550-575",IF($Y$24="Yes",'Data Tables'!Y8,'Data Tables'!Z8),IF($Y$23="575-600",IF($Y$24="Yes",'Data Tables'!Y8,'Data Tables'!Z8),IF($Y$23="600-625",IF($Y$24="Yes",'Data Tables'!Y8,'Data Tables'!Z8),IF($Y$23="625-650",IF($Y$24="Yes",'Data Tables'!Y8,'Data Tables'!Z8),IF($Y$23="650-675",IF($Y$24="Yes",'Data Tables'!Y8,'Data Tables'!Z8),IF($Y$23="675-700",IF($Y$24="Yes",'Data Tables'!Y8,'Data Tables'!Z8),IF($Y$23="700-750",IF($Y$24="Yes",'Data Tables'!AE8,'Data Tables'!AF8),IF($Y$23="750-800",IF($Y$24="Yes",'Data Tables'!AE8,'Data Tables'!AF8),IF($Y$23="800-850",IF($Y$24="Yes",'Data Tables'!AE8,'Data Tables'!AF8),IF($Y$24="Yes",'Data Tables'!AE8,'Data Tables'!AF8)))))))))),IF($Y$22="Impermeable - drained for arable",IF($Y$23="550-575",IF($Y$24="Yes",'Data Tables'!AA8,'Data Tables'!AB8),IF($Y$23="575-600",IF($Y$24="Yes",'Data Tables'!AA8,'Data Tables'!AB8),IF($Y$23="600-625",IF($Y$24="Yes",'Data Tables'!AA8,'Data Tables'!AB8),IF($Y$23="625-650",IF($Y$24="Yes",'Data Tables'!AA8,'Data Tables'!AB8),IF($Y$23="650-675",IF($Y$24="Yes",'Data Tables'!AA8,'Data Tables'!AB8),IF($Y$23="675-700",IF($Y$24="Yes",'Data Tables'!AA8,'Data Tables'!AB8),IF($Y$23="700-750",IF($Y$24="Yes",'Data Tables'!AG8,'Data Tables'!AH8),IF($Y$23="750-800",IF($Y$24="Yes",'Data Tables'!AG8,'Data Tables'!AH8),IF($Y$23="800-850",IF($Y$24="Yes",'Data Tables'!AG8,'Data Tables'!AH8),IF($Y$24="Yes",'Data Tables'!AG8,'Data Tables'!AH8)))))))))),IF($Y$23="550-575",IF($Y$24="Yes",'Data Tables'!AC8,'Data Tables'!AD8),IF($Y$23="575-600",IF($Y$24="Yes",'Data Tables'!AC8,'Data Tables'!AD8),IF($Y$23="600-625",IF($Y$24="Yes",'Data Tables'!AC8,'Data Tables'!AD8),IF($Y$23="625-650",IF($Y$24="Yes",'Data Tables'!AC8,'Data Tables'!AD8),IF($Y$23="650-675",IF($Y$24="Yes",'Data Tables'!AC8,'Data Tables'!AD8),IF($Y$23="675-700",IF($Y$24="Yes",'Data Tables'!AC8,'Data Tables'!AD8),IF($Y$23="700-750",IF($Y$24="Yes",'Data Tables'!AI8,'Data Tables'!AJ8),IF($Y$23="750-800",IF($Y$24="Yes",'Data Tables'!AI8,'Data Tables'!AJ8),IF($Y$23="800-850",IF($Y$24="Yes",'Data Tables'!AI8,'Data Tables'!AJ8),IF($Y$24="Yes",'Data Tables'!AI8,'Data Tables'!AJ8))))))))))))),IF($Y$21="Yare",(IF($Y$22="Freely draining",IF($Y$23="550-575",IF($Y$24="Yes",'Data Tables'!Y19,'Data Tables'!Z19),IF($Y$23="575-600",IF($Y$24="Yes",'Data Tables'!Y19,'Data Tables'!Z19),IF($Y$23="600-625",IF($Y$24="Yes",'Data Tables'!Y19,'Data Tables'!Z19),IF($Y$23="625-650",IF($Y$24="Yes",'Data Tables'!Y19,'Data Tables'!Z19),IF($Y$23="650-675",IF($Y$24="Yes",'Data Tables'!Y19,'Data Tables'!Z19),IF($Y$23="675-700",IF($Y$24="Yes",'Data Tables'!Y19,'Data Tables'!Z19),IF($Y$23="700-750",IF($Y$24="Yes",'Data Tables'!AE19,'Data Tables'!AF19),IF($Y$23="750-800",IF($Y$24="Yes",'Data Tables'!AE19,'Data Tables'!AF19),IF($Y$23="800-850",IF($Y$24="Yes",'Data Tables'!AE19,'Data Tables'!AF19),IF($Y$24="Yes",'Data Tables'!AE19,'Data Tables'!AF19)))))))))),IF($Y$22="Impermeable - drained for arable",IF($Y$23="550-575",IF($Y$24="Yes",'Data Tables'!AA19,'Data Tables'!AB19),IF($Y$23="575-600",IF($Y$24="Yes",'Data Tables'!AA19,'Data Tables'!AB19),IF($Y$23="600-625",IF($Y$24="Yes",'Data Tables'!AA19,'Data Tables'!AB19),IF($Y$23="625-650",IF($Y$24="Yes",'Data Tables'!AA19,'Data Tables'!AB19),IF($Y$23="650-675",IF($Y$24="Yes",'Data Tables'!AA19,'Data Tables'!AB19),IF($Y$23="675-700",IF($Y$24="Yes",'Data Tables'!AA19,'Data Tables'!AB19),IF($Y$23="700-750",IF($Y$24="Yes",'Data Tables'!AG19,'Data Tables'!AH19),IF($Y$23="750-800",IF($Y$24="Yes",'Data Tables'!AG19,'Data Tables'!AH19),IF($Y$23="800-850",IF($Y$24="Yes",'Data Tables'!AG19,'Data Tables'!AH19),IF($Y$24="Yes",'Data Tables'!AG19,'Data Tables'!AH19)))))))))),IF($Y$23="550-575",IF($Y$24="Yes",'Data Tables'!AC19,'Data Tables'!AD19),IF($Y$23="575-600",IF($Y$24="Yes",'Data Tables'!AC19,'Data Tables'!AD19),IF($Y$23="600-625",IF($Y$24="Yes",'Data Tables'!AC19,'Data Tables'!AD19),IF($Y$23="625-650",IF($Y$24="Yes",'Data Tables'!AC19,'Data Tables'!AD19),IF($Y$23="650-675",IF($Y$24="Yes",'Data Tables'!AC19,'Data Tables'!AD19),IF($Y$23="675-700",IF($Y$24="Yes",'Data Tables'!AC19,'Data Tables'!AD19),IF($Y$23="700-750",IF($Y$24="Yes",'Data Tables'!AI19,'Data Tables'!AJ19),IF($Y$23="750-800",IF($Y$24="Yes",'Data Tables'!AI19,'Data Tables'!AJ19),IF($Y$23="800-850",IF($Y$24="Yes",'Data Tables'!AI19,'Data Tables'!AJ19),IF($Y$24="Yes",'Data Tables'!AI19,'Data Tables'!AJ19))))))))))))),(IF($Y$22="Freely draining",IF($Y$23="550-575",IF($Y$24="Yes",'Data Tables'!S30,'Data Tables'!T30),IF($Y$23="575-600",IF($Y$24="Yes",'Data Tables'!S30,'Data Tables'!T30),IF($Y$23="600-625",IF($Y$24="Yes",'Data Tables'!Y30,'Data Tables'!Z30),IF($Y$23="625-650",IF($Y$24="Yes",'Data Tables'!Y30,'Data Tables'!Z30),IF($Y$23="650-675",IF($Y$24="Yes",'Data Tables'!Y30,'Data Tables'!Z30),IF($Y$23="675-700",IF($Y$24="Yes",'Data Tables'!Y30,'Data Tables'!Z30),IF($Y$23="700-750",IF($Y$24="Yes",'Data Tables'!AE30,'Data Tables'!AF30),IF($Y$23="750-800",IF($Y$24="Yes",'Data Tables'!AE30,'Data Tables'!AF30),IF($Y$23="800-850",IF($Y$24="Yes",'Data Tables'!AE30,'Data Tables'!AF30),IF($Y$24="Yes",'Data Tables'!AE30,'Data Tables'!AF30)))))))))),IF($Y$22="Impermeable - drained for arable",IF($Y$23="550-575",IF($Y$24="Yes",'Data Tables'!U30,'Data Tables'!V30),IF($Y$23="575-600",IF($Y$24="Yes",'Data Tables'!U30,'Data Tables'!V30),IF($Y$23="600-625",IF($Y$24="Yes",'Data Tables'!AA30,'Data Tables'!AB30),IF($Y$23="625-650",IF($Y$24="Yes",'Data Tables'!AA30,'Data Tables'!AB30),IF($Y$23="650-675",IF($Y$24="Yes",'Data Tables'!AA30,'Data Tables'!AB30),IF($Y$23="675-700",IF($Y$24="Yes",'Data Tables'!AA30,'Data Tables'!AB30),IF($Y$23="700-750",IF($Y$24="Yes",'Data Tables'!AG30,'Data Tables'!AH30),IF($Y$23="750-800",IF($Y$24="Yes",'Data Tables'!AG30,'Data Tables'!AH30),IF($Y$23="800-850",IF($Y$24="Yes",'Data Tables'!AG30,'Data Tables'!AH30),IF($Y$24="Yes",'Data Tables'!AG30,'Data Tables'!AH30)))))))))),IF($Y$23="550-575",IF($Y$24="Yes",'Data Tables'!W30,'Data Tables'!X30),IF($Y$23="575-600",IF($Y$24="Yes",'Data Tables'!W30,'Data Tables'!X30),IF($Y$23="600-625",IF($Y$24="Yes",'Data Tables'!AC30,'Data Tables'!AD30),IF($Y$23="625-650",IF($Y$24="Yes",'Data Tables'!AC30,'Data Tables'!AD30),IF($Y$23="650-675",IF($Y$24="Yes",'Data Tables'!AC30,'Data Tables'!AD30),IF($Y$23="675-700",IF($Y$24="Yes",'Data Tables'!AC30,'Data Tables'!AD30),IF($Y$23="700-750",IF($Y$24="Yes",'Data Tables'!AI30,'Data Tables'!AJ30),IF($Y$23="750-800",IF($Y$24="Yes",'Data Tables'!AI30,'Data Tables'!AJ30),IF($Y$23="800-850",IF($Y$24="Yes",'Data Tables'!AI30,'Data Tables'!AJ30),IF($Y$24="Yes",'Data Tables'!AI30,'Data Tables'!AJ30))))))))))))))),0),"")</f>
        <v/>
      </c>
      <c r="AB35" s="285" t="str">
        <f>IF($Y$16="Yes",IF($Y35="Yes",IF($Y$21="Wensum",(IF($Y$22="Freely draining",IF($Y$23="550-575",IF($Y$24="Yes",'Data Tables'!AM8,'Data Tables'!AN8),IF($Y$23="575-600",IF($Y$24="Yes",'Data Tables'!AM8,'Data Tables'!AN8),IF($Y$23="600-625",IF($Y$24="Yes",'Data Tables'!AM8,'Data Tables'!AN8),IF($Y$23="625-650",IF($Y$24="Yes",'Data Tables'!AM8,'Data Tables'!AN8),IF($Y$23="650-675",IF($Y$24="Yes",'Data Tables'!AM8,'Data Tables'!AN8),IF($Y$23="675-700",IF($Y$24="Yes",'Data Tables'!AM8,'Data Tables'!AN8),IF($Y$23="700-750",IF($Y$24="Yes",'Data Tables'!AS8,'Data Tables'!AT8),IF($Y$23="750-800",IF($Y$24="Yes",'Data Tables'!AS8,'Data Tables'!AT8),IF($Y$23="800-850",IF($Y$24="Yes",'Data Tables'!AS8,'Data Tables'!AT8),IF($Y$24="Yes",'Data Tables'!AS8,'Data Tables'!AT8)))))))))),IF($Y$22="Impermeable - drained for arable",IF($Y$23="550-575",IF($Y$24="Yes",'Data Tables'!AO8,'Data Tables'!AP8),IF($Y$23="575-600",IF($Y$24="Yes",'Data Tables'!AO8,'Data Tables'!AP8),IF($Y$23="600-625",IF($Y$24="Yes",'Data Tables'!AO8,'Data Tables'!AP8),IF($Y$23="625-650",IF($Y$24="Yes",'Data Tables'!AO8,'Data Tables'!AP8),IF($Y$23="650-675",IF($Y$24="Yes",'Data Tables'!AO8,'Data Tables'!AP8),IF($Y$23="675-700",IF($Y$24="Yes",'Data Tables'!AO8,'Data Tables'!AP8),IF($Y$23="700-750",IF($Y$24="Yes",'Data Tables'!AU8,'Data Tables'!AV8),IF($Y$23="750-800",IF($Y$24="Yes",'Data Tables'!AU8,'Data Tables'!AV8),IF($Y$23="800-850",IF($Y$24="Yes",'Data Tables'!AU8,'Data Tables'!AV8),IF($Y$24="Yes",'Data Tables'!AU8,'Data Tables'!AV8)))))))))),IF($Y$23="550-575",IF($Y$24="Yes",'Data Tables'!AQ8,'Data Tables'!AR8),IF($Y$23="575-600",IF($Y$24="Yes",'Data Tables'!AQ8,'Data Tables'!AR8),IF($Y$23="600-625",IF($Y$24="Yes",'Data Tables'!AQ8,'Data Tables'!AR8),IF($Y$23="625-650",IF($Y$24="Yes",'Data Tables'!AQ8,'Data Tables'!AR8),IF($Y$23="650-675",IF($Y$24="Yes",'Data Tables'!AQ8,'Data Tables'!AR8),IF($Y$23="675-700",IF($Y$24="Yes",'Data Tables'!AQ8,'Data Tables'!AR8),IF($Y$23="700-750",IF($Y$24="Yes",'Data Tables'!AW8,'Data Tables'!AX8),IF($Y$23="750-800",IF($Y$24="Yes",'Data Tables'!AW8,'Data Tables'!AX8),IF($Y$23="800-850",IF($Y$24="Yes",'Data Tables'!AW8,'Data Tables'!AX8),IF($Y$24="Yes",'Data Tables'!AW8,'Data Tables'!AX8))))))))))))),IF($Y$21="Yare",(IF($Y$22="Freely draining",IF($Y$23="550-575",IF($Y$24="Yes",'Data Tables'!AM19,'Data Tables'!AN19),IF($Y$23="575-600",IF($Y$24="Yes",'Data Tables'!AM19,'Data Tables'!AN19),IF($Y$23="600-625",IF($Y$24="Yes",'Data Tables'!AM19,'Data Tables'!AN19),IF($Y$23="625-650",IF($Y$24="Yes",'Data Tables'!AM19,'Data Tables'!AN19),IF($Y$23="650-675",IF($Y$24="Yes",'Data Tables'!AM19,'Data Tables'!AN19),IF($Y$23="675-700",IF($Y$24="Yes",'Data Tables'!AM19,'Data Tables'!AN19),IF($Y$23="700-750",IF($Y$24="Yes",'Data Tables'!AS19,'Data Tables'!AT19),IF($Y$23="750-800",IF($Y$24="Yes",'Data Tables'!AS19,'Data Tables'!AT19),IF($Y$23="800-850",IF($Y$24="Yes",'Data Tables'!AS19,'Data Tables'!AT19),IF($Y$24="Yes",'Data Tables'!AS19,'Data Tables'!AT19)))))))))),IF($Y$22="Impermeable - drained for arable",IF($Y$23="550-575",IF($Y$24="Yes",'Data Tables'!AO19,'Data Tables'!AP19),IF($Y$23="575-600",IF($Y$24="Yes",'Data Tables'!AO19,'Data Tables'!AP19),IF($Y$23="600-625",IF($Y$24="Yes",'Data Tables'!AO19,'Data Tables'!AP19),IF($Y$23="625-650",IF($Y$24="Yes",'Data Tables'!AO19,'Data Tables'!AP19),IF($Y$23="650-675",IF($Y$24="Yes",'Data Tables'!AO19,'Data Tables'!AP19),IF($Y$23="675-700",IF($Y$24="Yes",'Data Tables'!AO19,'Data Tables'!AP19),IF($Y$23="700-750",IF($Y$24="Yes",'Data Tables'!AU19,'Data Tables'!AV19),IF($Y$23="750-800",IF($Y$24="Yes",'Data Tables'!AU19,'Data Tables'!AV19),IF($Y$23="800-850",IF($Y$24="Yes",'Data Tables'!AU19,'Data Tables'!AV19),IF($Y$24="Yes",'Data Tables'!AU19,'Data Tables'!AV19)))))))))),IF($Y$23="550-575",IF($Y$24="Yes",'Data Tables'!AQ19,'Data Tables'!AR19),IF($Y$23="575-600",IF($Y$24="Yes",'Data Tables'!AQ19,'Data Tables'!AR19),IF($Y$23="600-625",IF($Y$24="Yes",'Data Tables'!AQ19,'Data Tables'!AR19),IF($Y$23="625-650",IF($Y$24="Yes",'Data Tables'!AQ19,'Data Tables'!AR19),IF($Y$23="650-675",IF($Y$24="Yes",'Data Tables'!AQ19,'Data Tables'!AR19),IF($Y$23="675-700",IF($Y$24="Yes",'Data Tables'!AQ19,'Data Tables'!AR19),IF($Y$23="700-750",IF($Y$24="Yes",'Data Tables'!AW19,'Data Tables'!AX19),IF($Y$23="750-800",IF($Y$24="Yes",'Data Tables'!AW19,'Data Tables'!AX19),IF($Y$23="800-850",IF($Y$24="Yes",'Data Tables'!AW19,'Data Tables'!AX19),IF($Y$24="Yes",'Data Tables'!AW19,'Data Tables'!AX19))))))))))))),(IF($Y$22="Freely draining",IF($Y$23="550-575",IF($Y$24="Yes",'Data Tables'!AG30,'Data Tables'!AH30),IF($Y$23="575-600",IF($Y$24="Yes",'Data Tables'!AG30,'Data Tables'!AH30),IF($Y$23="600-625",IF($Y$24="Yes",'Data Tables'!AM30,'Data Tables'!AN30),IF($Y$23="625-650",IF($Y$24="Yes",'Data Tables'!AM30,'Data Tables'!AN30),IF($Y$23="650-675",IF($Y$24="Yes",'Data Tables'!AM30,'Data Tables'!AN30),IF($Y$23="675-700",IF($Y$24="Yes",'Data Tables'!AM30,'Data Tables'!AN30),IF($Y$23="700-750",IF($Y$24="Yes",'Data Tables'!AS30,'Data Tables'!AT30),IF($Y$23="750-800",IF($Y$24="Yes",'Data Tables'!AS30,'Data Tables'!AT30),IF($Y$23="800-850",IF($Y$24="Yes",'Data Tables'!AS30,'Data Tables'!AT30),IF($Y$24="Yes",'Data Tables'!AS30,'Data Tables'!AT30)))))))))),IF($Y$22="Impermeable - drained for arable",IF($Y$23="550-575",IF($Y$24="Yes",'Data Tables'!AI30,'Data Tables'!AJ30),IF($Y$23="575-600",IF($Y$24="Yes",'Data Tables'!AI30,'Data Tables'!AJ30),IF($Y$23="600-625",IF($Y$24="Yes",'Data Tables'!AO30,'Data Tables'!AP30),IF($Y$23="625-650",IF($Y$24="Yes",'Data Tables'!AO30,'Data Tables'!AP30),IF($Y$23="650-675",IF($Y$24="Yes",'Data Tables'!AO30,'Data Tables'!AP30),IF($Y$23="675-700",IF($Y$24="Yes",'Data Tables'!AO30,'Data Tables'!AP30),IF($Y$23="700-750",IF($Y$24="Yes",'Data Tables'!AU30,'Data Tables'!AV30),IF($Y$23="750-800",IF($Y$24="Yes",'Data Tables'!AU30,'Data Tables'!AV30),IF($Y$23="800-850",IF($Y$24="Yes",'Data Tables'!AU30,'Data Tables'!AV30),IF($Y$24="Yes",'Data Tables'!AU30,'Data Tables'!AV30)))))))))),IF($Y$23="550-575",IF($Y$24="Yes",'Data Tables'!AK30,'Data Tables'!AL30),IF($Y$23="575-600",IF($Y$24="Yes",'Data Tables'!AK30,'Data Tables'!AL30),IF($Y$23="600-625",IF($Y$24="Yes",'Data Tables'!AQ30,'Data Tables'!AR30),IF($Y$23="625-650",IF($Y$24="Yes",'Data Tables'!AQ30,'Data Tables'!AR30),IF($Y$23="650-675",IF($Y$24="Yes",'Data Tables'!AQ30,'Data Tables'!AR30),IF($Y$23="675-700",IF($Y$24="Yes",'Data Tables'!AQ30,'Data Tables'!AR30),IF($Y$23="700-750",IF($Y$24="Yes",'Data Tables'!AW30,'Data Tables'!AX30),IF($Y$23="750-800",IF($Y$24="Yes",'Data Tables'!AW30,'Data Tables'!AX30),IF($Y$23="800-850",IF($Y$24="Yes",'Data Tables'!AW30,'Data Tables'!AX30),IF($Y$24="Yes",'Data Tables'!AW30,'Data Tables'!AX30))))))))))))))),0),"")</f>
        <v/>
      </c>
      <c r="AC35" s="313"/>
      <c r="AF35" s="94"/>
      <c r="AG35" s="94"/>
      <c r="AH35" s="94"/>
      <c r="AI35" s="94"/>
      <c r="AJ35" s="94"/>
      <c r="AK35" s="94"/>
      <c r="AL35" s="94"/>
      <c r="AM35" s="94"/>
      <c r="AN35" s="94"/>
      <c r="AO35" s="94"/>
      <c r="AP35" s="94"/>
      <c r="AQ35" s="94"/>
      <c r="AR35" s="94"/>
      <c r="AT35" s="94"/>
      <c r="AU35" s="94"/>
      <c r="AV35" s="94"/>
      <c r="AW35" s="94"/>
      <c r="AX35" s="94"/>
      <c r="AY35" s="94"/>
      <c r="AZ35" s="94"/>
      <c r="BA35" s="94"/>
    </row>
    <row r="36" spans="2:53" ht="15.95" customHeight="1" x14ac:dyDescent="0.25">
      <c r="B36" s="46"/>
      <c r="C36" s="42"/>
      <c r="D36" s="227"/>
      <c r="E36" s="432" t="str">
        <f>'Stage 2'!F31</f>
        <v>Pigs</v>
      </c>
      <c r="F36" s="432"/>
      <c r="G36" s="432"/>
      <c r="H36" s="432"/>
      <c r="I36" s="432"/>
      <c r="J36" s="49"/>
      <c r="K36" s="315" t="str">
        <f>IF('Stage 2'!$K31&gt;0,'Stage 2'!O31/'Stage 2'!$K31,"")</f>
        <v/>
      </c>
      <c r="L36" s="230"/>
      <c r="M36" s="273" t="str">
        <f>IF('Stage 2'!$K31&gt;0,'Stage 2'!Q31/'Stage 2'!$K31,"")</f>
        <v/>
      </c>
      <c r="N36" s="238" t="s">
        <v>62</v>
      </c>
      <c r="O36" s="240" t="s">
        <v>81</v>
      </c>
      <c r="P36" s="258"/>
      <c r="Q36" s="49"/>
      <c r="R36" s="49"/>
      <c r="S36" s="49"/>
      <c r="T36" s="432" t="str">
        <f t="shared" si="0"/>
        <v>Pigs</v>
      </c>
      <c r="U36" s="432"/>
      <c r="V36" s="432"/>
      <c r="W36" s="432"/>
      <c r="X36" s="432"/>
      <c r="Y36" s="238" t="s">
        <v>62</v>
      </c>
      <c r="Z36" s="49"/>
      <c r="AA36" s="285" t="str">
        <f>IF($Y$16="Yes",IF($Y36="Yes",IF($Y$21="Wensum",(IF($Y$22="Freely draining",IF($Y$23="550-575",IF($Y$24="Yes",'Data Tables'!Y9,'Data Tables'!Z9),IF($Y$23="575-600",IF($Y$24="Yes",'Data Tables'!Y9,'Data Tables'!Z9),IF($Y$23="600-625",IF($Y$24="Yes",'Data Tables'!Y9,'Data Tables'!Z9),IF($Y$23="625-650",IF($Y$24="Yes",'Data Tables'!Y9,'Data Tables'!Z9),IF($Y$23="650-675",IF($Y$24="Yes",'Data Tables'!Y9,'Data Tables'!Z9),IF($Y$23="675-700",IF($Y$24="Yes",'Data Tables'!Y9,'Data Tables'!Z9),IF($Y$23="700-750",IF($Y$24="Yes",'Data Tables'!AE9,'Data Tables'!AF9),IF($Y$23="750-800",IF($Y$24="Yes",'Data Tables'!AE9,'Data Tables'!AF9),IF($Y$23="800-850",IF($Y$24="Yes",'Data Tables'!AE9,'Data Tables'!AF9),IF($Y$24="Yes",'Data Tables'!AE9,'Data Tables'!AF9)))))))))),IF($Y$22="Impermeable - drained for arable",IF($Y$23="550-575",IF($Y$24="Yes",'Data Tables'!AA9,'Data Tables'!AB9),IF($Y$23="575-600",IF($Y$24="Yes",'Data Tables'!AA9,'Data Tables'!AB9),IF($Y$23="600-625",IF($Y$24="Yes",'Data Tables'!AA9,'Data Tables'!AB9),IF($Y$23="625-650",IF($Y$24="Yes",'Data Tables'!AA9,'Data Tables'!AB9),IF($Y$23="650-675",IF($Y$24="Yes",'Data Tables'!AA9,'Data Tables'!AB9),IF($Y$23="675-700",IF($Y$24="Yes",'Data Tables'!AA9,'Data Tables'!AB9),IF($Y$23="700-750",IF($Y$24="Yes",'Data Tables'!AG9,'Data Tables'!AH9),IF($Y$23="750-800",IF($Y$24="Yes",'Data Tables'!AG9,'Data Tables'!AH9),IF($Y$23="800-850",IF($Y$24="Yes",'Data Tables'!AG9,'Data Tables'!AH9),IF($Y$24="Yes",'Data Tables'!AG9,'Data Tables'!AH9)))))))))),IF($Y$23="550-575",IF($Y$24="Yes",'Data Tables'!AC9,'Data Tables'!AD9),IF($Y$23="575-600",IF($Y$24="Yes",'Data Tables'!AC9,'Data Tables'!AD9),IF($Y$23="600-625",IF($Y$24="Yes",'Data Tables'!AC9,'Data Tables'!AD9),IF($Y$23="625-650",IF($Y$24="Yes",'Data Tables'!AC9,'Data Tables'!AD9),IF($Y$23="650-675",IF($Y$24="Yes",'Data Tables'!AC9,'Data Tables'!AD9),IF($Y$23="675-700",IF($Y$24="Yes",'Data Tables'!AC9,'Data Tables'!AD9),IF($Y$23="700-750",IF($Y$24="Yes",'Data Tables'!AI9,'Data Tables'!AJ9),IF($Y$23="750-800",IF($Y$24="Yes",'Data Tables'!AI9,'Data Tables'!AJ9),IF($Y$23="800-850",IF($Y$24="Yes",'Data Tables'!AI9,'Data Tables'!AJ9),IF($Y$24="Yes",'Data Tables'!AI9,'Data Tables'!AJ9))))))))))))),IF($Y$21="Yare",(IF($Y$22="Freely draining",IF($Y$23="550-575",IF($Y$24="Yes",'Data Tables'!Y20,'Data Tables'!Z20),IF($Y$23="575-600",IF($Y$24="Yes",'Data Tables'!Y20,'Data Tables'!Z20),IF($Y$23="600-625",IF($Y$24="Yes",'Data Tables'!Y20,'Data Tables'!Z20),IF($Y$23="625-650",IF($Y$24="Yes",'Data Tables'!Y20,'Data Tables'!Z20),IF($Y$23="650-675",IF($Y$24="Yes",'Data Tables'!Y20,'Data Tables'!Z20),IF($Y$23="675-700",IF($Y$24="Yes",'Data Tables'!Y20,'Data Tables'!Z20),IF($Y$23="700-750",IF($Y$24="Yes",'Data Tables'!AE20,'Data Tables'!AF20),IF($Y$23="750-800",IF($Y$24="Yes",'Data Tables'!AE20,'Data Tables'!AF20),IF($Y$23="800-850",IF($Y$24="Yes",'Data Tables'!AE20,'Data Tables'!AF20),IF($Y$24="Yes",'Data Tables'!AE20,'Data Tables'!AF20)))))))))),IF($Y$22="Impermeable - drained for arable",IF($Y$23="550-575",IF($Y$24="Yes",'Data Tables'!AA20,'Data Tables'!AB20),IF($Y$23="575-600",IF($Y$24="Yes",'Data Tables'!AA20,'Data Tables'!AB20),IF($Y$23="600-625",IF($Y$24="Yes",'Data Tables'!AA20,'Data Tables'!AB20),IF($Y$23="625-650",IF($Y$24="Yes",'Data Tables'!AA20,'Data Tables'!AB20),IF($Y$23="650-675",IF($Y$24="Yes",'Data Tables'!AA20,'Data Tables'!AB20),IF($Y$23="675-700",IF($Y$24="Yes",'Data Tables'!AA20,'Data Tables'!AB20),IF($Y$23="700-750",IF($Y$24="Yes",'Data Tables'!AG20,'Data Tables'!AH20),IF($Y$23="750-800",IF($Y$24="Yes",'Data Tables'!AG20,'Data Tables'!AH20),IF($Y$23="800-850",IF($Y$24="Yes",'Data Tables'!AG20,'Data Tables'!AH20),IF($Y$24="Yes",'Data Tables'!AG20,'Data Tables'!AH20)))))))))),IF($Y$23="550-575",IF($Y$24="Yes",'Data Tables'!AC20,'Data Tables'!AD20),IF($Y$23="575-600",IF($Y$24="Yes",'Data Tables'!AC20,'Data Tables'!AD20),IF($Y$23="600-625",IF($Y$24="Yes",'Data Tables'!AC20,'Data Tables'!AD20),IF($Y$23="625-650",IF($Y$24="Yes",'Data Tables'!AC20,'Data Tables'!AD20),IF($Y$23="650-675",IF($Y$24="Yes",'Data Tables'!AC20,'Data Tables'!AD20),IF($Y$23="675-700",IF($Y$24="Yes",'Data Tables'!AC20,'Data Tables'!AD20),IF($Y$23="700-750",IF($Y$24="Yes",'Data Tables'!AI20,'Data Tables'!AJ20),IF($Y$23="750-800",IF($Y$24="Yes",'Data Tables'!AI20,'Data Tables'!AJ20),IF($Y$23="800-850",IF($Y$24="Yes",'Data Tables'!AI20,'Data Tables'!AJ20),IF($Y$24="Yes",'Data Tables'!AI20,'Data Tables'!AJ20))))))))))))),(IF($Y$22="Freely draining",IF($Y$23="550-575",IF($Y$24="Yes",'Data Tables'!S31,'Data Tables'!T31),IF($Y$23="575-600",IF($Y$24="Yes",'Data Tables'!S31,'Data Tables'!T31),IF($Y$23="600-625",IF($Y$24="Yes",'Data Tables'!Y31,'Data Tables'!Z31),IF($Y$23="625-650",IF($Y$24="Yes",'Data Tables'!Y31,'Data Tables'!Z31),IF($Y$23="650-675",IF($Y$24="Yes",'Data Tables'!Y31,'Data Tables'!Z31),IF($Y$23="675-700",IF($Y$24="Yes",'Data Tables'!Y31,'Data Tables'!Z31),IF($Y$23="700-750",IF($Y$24="Yes",'Data Tables'!AE31,'Data Tables'!AF31),IF($Y$23="750-800",IF($Y$24="Yes",'Data Tables'!AE31,'Data Tables'!AF31),IF($Y$23="800-850",IF($Y$24="Yes",'Data Tables'!AE31,'Data Tables'!AF31),IF($Y$24="Yes",'Data Tables'!AE31,'Data Tables'!AF31)))))))))),IF($Y$22="Impermeable - drained for arable",IF($Y$23="550-575",IF($Y$24="Yes",'Data Tables'!U31,'Data Tables'!V31),IF($Y$23="575-600",IF($Y$24="Yes",'Data Tables'!U31,'Data Tables'!V31),IF($Y$23="600-625",IF($Y$24="Yes",'Data Tables'!AA31,'Data Tables'!AB31),IF($Y$23="625-650",IF($Y$24="Yes",'Data Tables'!AA31,'Data Tables'!AB31),IF($Y$23="650-675",IF($Y$24="Yes",'Data Tables'!AA31,'Data Tables'!AB31),IF($Y$23="675-700",IF($Y$24="Yes",'Data Tables'!AA31,'Data Tables'!AB31),IF($Y$23="700-750",IF($Y$24="Yes",'Data Tables'!AG31,'Data Tables'!AH31),IF($Y$23="750-800",IF($Y$24="Yes",'Data Tables'!AG31,'Data Tables'!AH31),IF($Y$23="800-850",IF($Y$24="Yes",'Data Tables'!AG31,'Data Tables'!AH31),IF($Y$24="Yes",'Data Tables'!AG31,'Data Tables'!AH31)))))))))),IF($Y$23="550-575",IF($Y$24="Yes",'Data Tables'!W31,'Data Tables'!X31),IF($Y$23="575-600",IF($Y$24="Yes",'Data Tables'!W31,'Data Tables'!X31),IF($Y$23="600-625",IF($Y$24="Yes",'Data Tables'!AC31,'Data Tables'!AD31),IF($Y$23="625-650",IF($Y$24="Yes",'Data Tables'!AC31,'Data Tables'!AD31),IF($Y$23="650-675",IF($Y$24="Yes",'Data Tables'!AC31,'Data Tables'!AD31),IF($Y$23="675-700",IF($Y$24="Yes",'Data Tables'!AC31,'Data Tables'!AD31),IF($Y$23="700-750",IF($Y$24="Yes",'Data Tables'!AI31,'Data Tables'!AJ31),IF($Y$23="750-800",IF($Y$24="Yes",'Data Tables'!AI31,'Data Tables'!AJ31),IF($Y$23="800-850",IF($Y$24="Yes",'Data Tables'!AI31,'Data Tables'!AJ31),IF($Y$24="Yes",'Data Tables'!AI31,'Data Tables'!AJ31))))))))))))))),0),"")</f>
        <v/>
      </c>
      <c r="AB36" s="285" t="str">
        <f>IF($Y$16="Yes",IF($Y36="Yes",IF($Y$21="Wensum",(IF($Y$22="Freely draining",IF($Y$23="550-575",IF($Y$24="Yes",'Data Tables'!AM9,'Data Tables'!AN9),IF($Y$23="575-600",IF($Y$24="Yes",'Data Tables'!AM9,'Data Tables'!AN9),IF($Y$23="600-625",IF($Y$24="Yes",'Data Tables'!AM9,'Data Tables'!AN9),IF($Y$23="625-650",IF($Y$24="Yes",'Data Tables'!AM9,'Data Tables'!AN9),IF($Y$23="650-675",IF($Y$24="Yes",'Data Tables'!AM9,'Data Tables'!AN9),IF($Y$23="675-700",IF($Y$24="Yes",'Data Tables'!AM9,'Data Tables'!AN9),IF($Y$23="700-750",IF($Y$24="Yes",'Data Tables'!AS9,'Data Tables'!AT9),IF($Y$23="750-800",IF($Y$24="Yes",'Data Tables'!AS9,'Data Tables'!AT9),IF($Y$23="800-850",IF($Y$24="Yes",'Data Tables'!AS9,'Data Tables'!AT9),IF($Y$24="Yes",'Data Tables'!AS9,'Data Tables'!AT9)))))))))),IF($Y$22="Impermeable - drained for arable",IF($Y$23="550-575",IF($Y$24="Yes",'Data Tables'!AO9,'Data Tables'!AP9),IF($Y$23="575-600",IF($Y$24="Yes",'Data Tables'!AO9,'Data Tables'!AP9),IF($Y$23="600-625",IF($Y$24="Yes",'Data Tables'!AO9,'Data Tables'!AP9),IF($Y$23="625-650",IF($Y$24="Yes",'Data Tables'!AO9,'Data Tables'!AP9),IF($Y$23="650-675",IF($Y$24="Yes",'Data Tables'!AO9,'Data Tables'!AP9),IF($Y$23="675-700",IF($Y$24="Yes",'Data Tables'!AO9,'Data Tables'!AP9),IF($Y$23="700-750",IF($Y$24="Yes",'Data Tables'!AU9,'Data Tables'!AV9),IF($Y$23="750-800",IF($Y$24="Yes",'Data Tables'!AU9,'Data Tables'!AV9),IF($Y$23="800-850",IF($Y$24="Yes",'Data Tables'!AU9,'Data Tables'!AV9),IF($Y$24="Yes",'Data Tables'!AU9,'Data Tables'!AV9)))))))))),IF($Y$23="550-575",IF($Y$24="Yes",'Data Tables'!AQ9,'Data Tables'!AR9),IF($Y$23="575-600",IF($Y$24="Yes",'Data Tables'!AQ9,'Data Tables'!AR9),IF($Y$23="600-625",IF($Y$24="Yes",'Data Tables'!AQ9,'Data Tables'!AR9),IF($Y$23="625-650",IF($Y$24="Yes",'Data Tables'!AQ9,'Data Tables'!AR9),IF($Y$23="650-675",IF($Y$24="Yes",'Data Tables'!AQ9,'Data Tables'!AR9),IF($Y$23="675-700",IF($Y$24="Yes",'Data Tables'!AQ9,'Data Tables'!AR9),IF($Y$23="700-750",IF($Y$24="Yes",'Data Tables'!AW9,'Data Tables'!AX9),IF($Y$23="750-800",IF($Y$24="Yes",'Data Tables'!AW9,'Data Tables'!AX9),IF($Y$23="800-850",IF($Y$24="Yes",'Data Tables'!AW9,'Data Tables'!AX9),IF($Y$24="Yes",'Data Tables'!AW9,'Data Tables'!AX9))))))))))))),IF($Y$21="Yare",(IF($Y$22="Freely draining",IF($Y$23="550-575",IF($Y$24="Yes",'Data Tables'!AM20,'Data Tables'!AN20),IF($Y$23="575-600",IF($Y$24="Yes",'Data Tables'!AM20,'Data Tables'!AN20),IF($Y$23="600-625",IF($Y$24="Yes",'Data Tables'!AM20,'Data Tables'!AN20),IF($Y$23="625-650",IF($Y$24="Yes",'Data Tables'!AM20,'Data Tables'!AN20),IF($Y$23="650-675",IF($Y$24="Yes",'Data Tables'!AM20,'Data Tables'!AN20),IF($Y$23="675-700",IF($Y$24="Yes",'Data Tables'!AM20,'Data Tables'!AN20),IF($Y$23="700-750",IF($Y$24="Yes",'Data Tables'!AS20,'Data Tables'!AT20),IF($Y$23="750-800",IF($Y$24="Yes",'Data Tables'!AS20,'Data Tables'!AT20),IF($Y$23="800-850",IF($Y$24="Yes",'Data Tables'!AS20,'Data Tables'!AT20),IF($Y$24="Yes",'Data Tables'!AS20,'Data Tables'!AT20)))))))))),IF($Y$22="Impermeable - drained for arable",IF($Y$23="550-575",IF($Y$24="Yes",'Data Tables'!AO20,'Data Tables'!AP20),IF($Y$23="575-600",IF($Y$24="Yes",'Data Tables'!AO20,'Data Tables'!AP20),IF($Y$23="600-625",IF($Y$24="Yes",'Data Tables'!AO20,'Data Tables'!AP20),IF($Y$23="625-650",IF($Y$24="Yes",'Data Tables'!AO20,'Data Tables'!AP20),IF($Y$23="650-675",IF($Y$24="Yes",'Data Tables'!AO20,'Data Tables'!AP20),IF($Y$23="675-700",IF($Y$24="Yes",'Data Tables'!AO20,'Data Tables'!AP20),IF($Y$23="700-750",IF($Y$24="Yes",'Data Tables'!AU20,'Data Tables'!AV20),IF($Y$23="750-800",IF($Y$24="Yes",'Data Tables'!AU20,'Data Tables'!AV20),IF($Y$23="800-850",IF($Y$24="Yes",'Data Tables'!AU20,'Data Tables'!AV20),IF($Y$24="Yes",'Data Tables'!AU20,'Data Tables'!AV20)))))))))),IF($Y$23="550-575",IF($Y$24="Yes",'Data Tables'!AQ20,'Data Tables'!AR20),IF($Y$23="575-600",IF($Y$24="Yes",'Data Tables'!AQ20,'Data Tables'!AR20),IF($Y$23="600-625",IF($Y$24="Yes",'Data Tables'!AQ20,'Data Tables'!AR20),IF($Y$23="625-650",IF($Y$24="Yes",'Data Tables'!AQ20,'Data Tables'!AR20),IF($Y$23="650-675",IF($Y$24="Yes",'Data Tables'!AQ20,'Data Tables'!AR20),IF($Y$23="675-700",IF($Y$24="Yes",'Data Tables'!AQ20,'Data Tables'!AR20),IF($Y$23="700-750",IF($Y$24="Yes",'Data Tables'!AW20,'Data Tables'!AX20),IF($Y$23="750-800",IF($Y$24="Yes",'Data Tables'!AW20,'Data Tables'!AX20),IF($Y$23="800-850",IF($Y$24="Yes",'Data Tables'!AW20,'Data Tables'!AX20),IF($Y$24="Yes",'Data Tables'!AW20,'Data Tables'!AX20))))))))))))),(IF($Y$22="Freely draining",IF($Y$23="550-575",IF($Y$24="Yes",'Data Tables'!AG31,'Data Tables'!AH31),IF($Y$23="575-600",IF($Y$24="Yes",'Data Tables'!AG31,'Data Tables'!AH31),IF($Y$23="600-625",IF($Y$24="Yes",'Data Tables'!AM31,'Data Tables'!AN31),IF($Y$23="625-650",IF($Y$24="Yes",'Data Tables'!AM31,'Data Tables'!AN31),IF($Y$23="650-675",IF($Y$24="Yes",'Data Tables'!AM31,'Data Tables'!AN31),IF($Y$23="675-700",IF($Y$24="Yes",'Data Tables'!AM31,'Data Tables'!AN31),IF($Y$23="700-750",IF($Y$24="Yes",'Data Tables'!AS31,'Data Tables'!AT31),IF($Y$23="750-800",IF($Y$24="Yes",'Data Tables'!AS31,'Data Tables'!AT31),IF($Y$23="800-850",IF($Y$24="Yes",'Data Tables'!AS31,'Data Tables'!AT31),IF($Y$24="Yes",'Data Tables'!AS31,'Data Tables'!AT31)))))))))),IF($Y$22="Impermeable - drained for arable",IF($Y$23="550-575",IF($Y$24="Yes",'Data Tables'!AI31,'Data Tables'!AJ31),IF($Y$23="575-600",IF($Y$24="Yes",'Data Tables'!AI31,'Data Tables'!AJ31),IF($Y$23="600-625",IF($Y$24="Yes",'Data Tables'!AO31,'Data Tables'!AP31),IF($Y$23="625-650",IF($Y$24="Yes",'Data Tables'!AO31,'Data Tables'!AP31),IF($Y$23="650-675",IF($Y$24="Yes",'Data Tables'!AO31,'Data Tables'!AP31),IF($Y$23="675-700",IF($Y$24="Yes",'Data Tables'!AO31,'Data Tables'!AP31),IF($Y$23="700-750",IF($Y$24="Yes",'Data Tables'!AU31,'Data Tables'!AV31),IF($Y$23="750-800",IF($Y$24="Yes",'Data Tables'!AU31,'Data Tables'!AV31),IF($Y$23="800-850",IF($Y$24="Yes",'Data Tables'!AU31,'Data Tables'!AV31),IF($Y$24="Yes",'Data Tables'!AU31,'Data Tables'!AV31)))))))))),IF($Y$23="550-575",IF($Y$24="Yes",'Data Tables'!AK31,'Data Tables'!AL31),IF($Y$23="575-600",IF($Y$24="Yes",'Data Tables'!AK31,'Data Tables'!AL31),IF($Y$23="600-625",IF($Y$24="Yes",'Data Tables'!AQ31,'Data Tables'!AR31),IF($Y$23="625-650",IF($Y$24="Yes",'Data Tables'!AQ31,'Data Tables'!AR31),IF($Y$23="650-675",IF($Y$24="Yes",'Data Tables'!AQ31,'Data Tables'!AR31),IF($Y$23="675-700",IF($Y$24="Yes",'Data Tables'!AQ31,'Data Tables'!AR31),IF($Y$23="700-750",IF($Y$24="Yes",'Data Tables'!AW31,'Data Tables'!AX31),IF($Y$23="750-800",IF($Y$24="Yes",'Data Tables'!AW31,'Data Tables'!AX31),IF($Y$23="800-850",IF($Y$24="Yes",'Data Tables'!AW31,'Data Tables'!AX31),IF($Y$24="Yes",'Data Tables'!AW31,'Data Tables'!AX31))))))))))))))),0),"")</f>
        <v/>
      </c>
      <c r="AC36" s="313"/>
      <c r="AF36" s="94"/>
      <c r="AG36" s="94"/>
      <c r="AH36" s="94"/>
      <c r="AI36" s="94"/>
      <c r="AJ36" s="94"/>
      <c r="AK36" s="94"/>
      <c r="AL36" s="94"/>
      <c r="AM36" s="94"/>
      <c r="AN36" s="94"/>
      <c r="AO36" s="94"/>
      <c r="AP36" s="94"/>
      <c r="AQ36" s="94"/>
      <c r="AR36" s="94"/>
      <c r="AT36" s="94"/>
      <c r="AU36" s="94"/>
      <c r="AV36" s="94"/>
      <c r="AW36" s="94"/>
      <c r="AX36" s="94"/>
      <c r="AY36" s="94"/>
      <c r="AZ36" s="94"/>
      <c r="BA36" s="94"/>
    </row>
    <row r="37" spans="2:53" ht="15.95" customHeight="1" x14ac:dyDescent="0.25">
      <c r="B37" s="46"/>
      <c r="C37" s="42"/>
      <c r="D37" s="227"/>
      <c r="E37" s="432" t="str">
        <f>'Stage 2'!F32</f>
        <v>Horticulture</v>
      </c>
      <c r="F37" s="432"/>
      <c r="G37" s="432"/>
      <c r="H37" s="432"/>
      <c r="I37" s="432"/>
      <c r="J37" s="49"/>
      <c r="K37" s="315" t="str">
        <f>IF('Stage 2'!$K32&gt;0,'Stage 2'!O32/'Stage 2'!$K32,"")</f>
        <v/>
      </c>
      <c r="L37" s="230"/>
      <c r="M37" s="273" t="str">
        <f>IF('Stage 2'!$K32&gt;0,'Stage 2'!Q32/'Stage 2'!$K32,"")</f>
        <v/>
      </c>
      <c r="N37" s="238" t="s">
        <v>62</v>
      </c>
      <c r="O37" s="240" t="s">
        <v>81</v>
      </c>
      <c r="P37" s="258"/>
      <c r="Q37" s="49"/>
      <c r="R37" s="49"/>
      <c r="S37" s="49"/>
      <c r="T37" s="432" t="str">
        <f t="shared" si="0"/>
        <v>Horticulture</v>
      </c>
      <c r="U37" s="432"/>
      <c r="V37" s="432"/>
      <c r="W37" s="432"/>
      <c r="X37" s="432"/>
      <c r="Y37" s="238" t="s">
        <v>62</v>
      </c>
      <c r="Z37" s="49"/>
      <c r="AA37" s="285" t="str">
        <f>IF($Y$16="Yes",IF($Y37="Yes",IF($Y$21="Wensum",(IF($Y$22="Freely draining",IF($Y$23="550-575",IF($Y$24="Yes",'Data Tables'!Y10,'Data Tables'!Z10),IF($Y$23="575-600",IF($Y$24="Yes",'Data Tables'!Y10,'Data Tables'!Z10),IF($Y$23="600-625",IF($Y$24="Yes",'Data Tables'!Y10,'Data Tables'!Z10),IF($Y$23="625-650",IF($Y$24="Yes",'Data Tables'!Y10,'Data Tables'!Z10),IF($Y$23="650-675",IF($Y$24="Yes",'Data Tables'!Y10,'Data Tables'!Z10),IF($Y$23="675-700",IF($Y$24="Yes",'Data Tables'!Y10,'Data Tables'!Z10),IF($Y$23="700-750",IF($Y$24="Yes",'Data Tables'!AE10,'Data Tables'!AF10),IF($Y$23="750-800",IF($Y$24="Yes",'Data Tables'!AE10,'Data Tables'!AF10),IF($Y$23="800-850",IF($Y$24="Yes",'Data Tables'!AE10,'Data Tables'!AF10),IF($Y$24="Yes",'Data Tables'!AE10,'Data Tables'!AF10)))))))))),IF($Y$22="Impermeable - drained for arable",IF($Y$23="550-575",IF($Y$24="Yes",'Data Tables'!AA10,'Data Tables'!AB10),IF($Y$23="575-600",IF($Y$24="Yes",'Data Tables'!AA10,'Data Tables'!AB10),IF($Y$23="600-625",IF($Y$24="Yes",'Data Tables'!AA10,'Data Tables'!AB10),IF($Y$23="625-650",IF($Y$24="Yes",'Data Tables'!AA10,'Data Tables'!AB10),IF($Y$23="650-675",IF($Y$24="Yes",'Data Tables'!AA10,'Data Tables'!AB10),IF($Y$23="675-700",IF($Y$24="Yes",'Data Tables'!AA10,'Data Tables'!AB10),IF($Y$23="700-750",IF($Y$24="Yes",'Data Tables'!AG10,'Data Tables'!AH10),IF($Y$23="750-800",IF($Y$24="Yes",'Data Tables'!AG10,'Data Tables'!AH10),IF($Y$23="800-850",IF($Y$24="Yes",'Data Tables'!AG10,'Data Tables'!AH10),IF($Y$24="Yes",'Data Tables'!AG10,'Data Tables'!AH10)))))))))),IF($Y$23="550-575",IF($Y$24="Yes",'Data Tables'!AC10,'Data Tables'!AD10),IF($Y$23="575-600",IF($Y$24="Yes",'Data Tables'!AC10,'Data Tables'!AD10),IF($Y$23="600-625",IF($Y$24="Yes",'Data Tables'!AC10,'Data Tables'!AD10),IF($Y$23="625-650",IF($Y$24="Yes",'Data Tables'!AC10,'Data Tables'!AD10),IF($Y$23="650-675",IF($Y$24="Yes",'Data Tables'!AC10,'Data Tables'!AD10),IF($Y$23="675-700",IF($Y$24="Yes",'Data Tables'!AC10,'Data Tables'!AD10),IF($Y$23="700-750",IF($Y$24="Yes",'Data Tables'!AI10,'Data Tables'!AJ10),IF($Y$23="750-800",IF($Y$24="Yes",'Data Tables'!AI10,'Data Tables'!AJ10),IF($Y$23="800-850",IF($Y$24="Yes",'Data Tables'!AI10,'Data Tables'!AJ10),IF($Y$24="Yes",'Data Tables'!AI10,'Data Tables'!AJ10))))))))))))),IF($Y$21="Yare",(IF($Y$22="Freely draining",IF($Y$23="550-575",IF($Y$24="Yes",'Data Tables'!Y21,'Data Tables'!Z21),IF($Y$23="575-600",IF($Y$24="Yes",'Data Tables'!Y21,'Data Tables'!Z21),IF($Y$23="600-625",IF($Y$24="Yes",'Data Tables'!Y21,'Data Tables'!Z21),IF($Y$23="625-650",IF($Y$24="Yes",'Data Tables'!Y21,'Data Tables'!Z21),IF($Y$23="650-675",IF($Y$24="Yes",'Data Tables'!Y21,'Data Tables'!Z21),IF($Y$23="675-700",IF($Y$24="Yes",'Data Tables'!Y21,'Data Tables'!Z21),IF($Y$23="700-750",IF($Y$24="Yes",'Data Tables'!AE21,'Data Tables'!AF21),IF($Y$23="750-800",IF($Y$24="Yes",'Data Tables'!AE21,'Data Tables'!AF21),IF($Y$23="800-850",IF($Y$24="Yes",'Data Tables'!AE21,'Data Tables'!AF21),IF($Y$24="Yes",'Data Tables'!AE21,'Data Tables'!AF21)))))))))),IF($Y$22="Impermeable - drained for arable",IF($Y$23="550-575",IF($Y$24="Yes",'Data Tables'!AA21,'Data Tables'!AB21),IF($Y$23="575-600",IF($Y$24="Yes",'Data Tables'!AA21,'Data Tables'!AB21),IF($Y$23="600-625",IF($Y$24="Yes",'Data Tables'!AA21,'Data Tables'!AB21),IF($Y$23="625-650",IF($Y$24="Yes",'Data Tables'!AA21,'Data Tables'!AB21),IF($Y$23="650-675",IF($Y$24="Yes",'Data Tables'!AA21,'Data Tables'!AB21),IF($Y$23="675-700",IF($Y$24="Yes",'Data Tables'!AA21,'Data Tables'!AB21),IF($Y$23="700-750",IF($Y$24="Yes",'Data Tables'!AG21,'Data Tables'!AH21),IF($Y$23="750-800",IF($Y$24="Yes",'Data Tables'!AG21,'Data Tables'!AH21),IF($Y$23="800-850",IF($Y$24="Yes",'Data Tables'!AG21,'Data Tables'!AH21),IF($Y$24="Yes",'Data Tables'!AG21,'Data Tables'!AH21)))))))))),IF($Y$23="550-575",IF($Y$24="Yes",'Data Tables'!AC21,'Data Tables'!AD21),IF($Y$23="575-600",IF($Y$24="Yes",'Data Tables'!AC21,'Data Tables'!AD21),IF($Y$23="600-625",IF($Y$24="Yes",'Data Tables'!AC21,'Data Tables'!AD21),IF($Y$23="625-650",IF($Y$24="Yes",'Data Tables'!AC21,'Data Tables'!AD21),IF($Y$23="650-675",IF($Y$24="Yes",'Data Tables'!AC21,'Data Tables'!AD21),IF($Y$23="675-700",IF($Y$24="Yes",'Data Tables'!AC21,'Data Tables'!AD21),IF($Y$23="700-750",IF($Y$24="Yes",'Data Tables'!AI21,'Data Tables'!AJ21),IF($Y$23="750-800",IF($Y$24="Yes",'Data Tables'!AI21,'Data Tables'!AJ21),IF($Y$23="800-850",IF($Y$24="Yes",'Data Tables'!AI21,'Data Tables'!AJ21),IF($Y$24="Yes",'Data Tables'!AI21,'Data Tables'!AJ21))))))))))))),(IF($Y$22="Freely draining",IF($Y$23="550-575",IF($Y$24="Yes",'Data Tables'!S32,'Data Tables'!T32),IF($Y$23="575-600",IF($Y$24="Yes",'Data Tables'!S32,'Data Tables'!T32),IF($Y$23="600-625",IF($Y$24="Yes",'Data Tables'!Y32,'Data Tables'!Z32),IF($Y$23="625-650",IF($Y$24="Yes",'Data Tables'!Y32,'Data Tables'!Z32),IF($Y$23="650-675",IF($Y$24="Yes",'Data Tables'!Y32,'Data Tables'!Z32),IF($Y$23="675-700",IF($Y$24="Yes",'Data Tables'!Y32,'Data Tables'!Z32),IF($Y$23="700-750",IF($Y$24="Yes",'Data Tables'!AE32,'Data Tables'!AF32),IF($Y$23="750-800",IF($Y$24="Yes",'Data Tables'!AE32,'Data Tables'!AF32),IF($Y$23="800-850",IF($Y$24="Yes",'Data Tables'!AE32,'Data Tables'!AF32),IF($Y$24="Yes",'Data Tables'!AE32,'Data Tables'!AF32)))))))))),IF($Y$22="Impermeable - drained for arable",IF($Y$23="550-575",IF($Y$24="Yes",'Data Tables'!U32,'Data Tables'!V32),IF($Y$23="575-600",IF($Y$24="Yes",'Data Tables'!U32,'Data Tables'!V32),IF($Y$23="600-625",IF($Y$24="Yes",'Data Tables'!AA32,'Data Tables'!AB32),IF($Y$23="625-650",IF($Y$24="Yes",'Data Tables'!AA32,'Data Tables'!AB32),IF($Y$23="650-675",IF($Y$24="Yes",'Data Tables'!AA32,'Data Tables'!AB32),IF($Y$23="675-700",IF($Y$24="Yes",'Data Tables'!AA32,'Data Tables'!AB32),IF($Y$23="700-750",IF($Y$24="Yes",'Data Tables'!AG32,'Data Tables'!AH32),IF($Y$23="750-800",IF($Y$24="Yes",'Data Tables'!AG32,'Data Tables'!AH32),IF($Y$23="800-850",IF($Y$24="Yes",'Data Tables'!AG32,'Data Tables'!AH32),IF($Y$24="Yes",'Data Tables'!AG32,'Data Tables'!AH32)))))))))),IF($Y$23="550-575",IF($Y$24="Yes",'Data Tables'!W32,'Data Tables'!X32),IF($Y$23="575-600",IF($Y$24="Yes",'Data Tables'!W32,'Data Tables'!X32),IF($Y$23="600-625",IF($Y$24="Yes",'Data Tables'!AC32,'Data Tables'!AD32),IF($Y$23="625-650",IF($Y$24="Yes",'Data Tables'!AC32,'Data Tables'!AD32),IF($Y$23="650-675",IF($Y$24="Yes",'Data Tables'!AC32,'Data Tables'!AD32),IF($Y$23="675-700",IF($Y$24="Yes",'Data Tables'!AC32,'Data Tables'!AD32),IF($Y$23="700-750",IF($Y$24="Yes",'Data Tables'!AI32,'Data Tables'!AJ32),IF($Y$23="750-800",IF($Y$24="Yes",'Data Tables'!AI32,'Data Tables'!AJ32),IF($Y$23="800-850",IF($Y$24="Yes",'Data Tables'!AI32,'Data Tables'!AJ32),IF($Y$24="Yes",'Data Tables'!AI32,'Data Tables'!AJ32))))))))))))))),0),"")</f>
        <v/>
      </c>
      <c r="AB37" s="285" t="str">
        <f>IF($Y$16="Yes",IF($Y37="Yes",IF($Y$21="Wensum",(IF($Y$22="Freely draining",IF($Y$23="550-575",IF($Y$24="Yes",'Data Tables'!AM10,'Data Tables'!AN10),IF($Y$23="575-600",IF($Y$24="Yes",'Data Tables'!AM10,'Data Tables'!AN10),IF($Y$23="600-625",IF($Y$24="Yes",'Data Tables'!AM10,'Data Tables'!AN10),IF($Y$23="625-650",IF($Y$24="Yes",'Data Tables'!AM10,'Data Tables'!AN10),IF($Y$23="650-675",IF($Y$24="Yes",'Data Tables'!AM10,'Data Tables'!AN10),IF($Y$23="675-700",IF($Y$24="Yes",'Data Tables'!AM10,'Data Tables'!AN10),IF($Y$23="700-750",IF($Y$24="Yes",'Data Tables'!AS10,'Data Tables'!AT10),IF($Y$23="750-800",IF($Y$24="Yes",'Data Tables'!AS10,'Data Tables'!AT10),IF($Y$23="800-850",IF($Y$24="Yes",'Data Tables'!AS10,'Data Tables'!AT10),IF($Y$24="Yes",'Data Tables'!AS10,'Data Tables'!AT10)))))))))),IF($Y$22="Impermeable - drained for arable",IF($Y$23="550-575",IF($Y$24="Yes",'Data Tables'!AO10,'Data Tables'!AP10),IF($Y$23="575-600",IF($Y$24="Yes",'Data Tables'!AO10,'Data Tables'!AP10),IF($Y$23="600-625",IF($Y$24="Yes",'Data Tables'!AO10,'Data Tables'!AP10),IF($Y$23="625-650",IF($Y$24="Yes",'Data Tables'!AO10,'Data Tables'!AP10),IF($Y$23="650-675",IF($Y$24="Yes",'Data Tables'!AO10,'Data Tables'!AP10),IF($Y$23="675-700",IF($Y$24="Yes",'Data Tables'!AO10,'Data Tables'!AP10),IF($Y$23="700-750",IF($Y$24="Yes",'Data Tables'!AU10,'Data Tables'!AV10),IF($Y$23="750-800",IF($Y$24="Yes",'Data Tables'!AU10,'Data Tables'!AV10),IF($Y$23="800-850",IF($Y$24="Yes",'Data Tables'!AU10,'Data Tables'!AV10),IF($Y$24="Yes",'Data Tables'!AU10,'Data Tables'!AV10)))))))))),IF($Y$23="550-575",IF($Y$24="Yes",'Data Tables'!AQ10,'Data Tables'!AR10),IF($Y$23="575-600",IF($Y$24="Yes",'Data Tables'!AQ10,'Data Tables'!AR10),IF($Y$23="600-625",IF($Y$24="Yes",'Data Tables'!AQ10,'Data Tables'!AR10),IF($Y$23="625-650",IF($Y$24="Yes",'Data Tables'!AQ10,'Data Tables'!AR10),IF($Y$23="650-675",IF($Y$24="Yes",'Data Tables'!AQ10,'Data Tables'!AR10),IF($Y$23="675-700",IF($Y$24="Yes",'Data Tables'!AQ10,'Data Tables'!AR10),IF($Y$23="700-750",IF($Y$24="Yes",'Data Tables'!AW10,'Data Tables'!AX10),IF($Y$23="750-800",IF($Y$24="Yes",'Data Tables'!AW10,'Data Tables'!AX10),IF($Y$23="800-850",IF($Y$24="Yes",'Data Tables'!AW10,'Data Tables'!AX10),IF($Y$24="Yes",'Data Tables'!AW10,'Data Tables'!AX10))))))))))))),IF($Y$21="Yare",(IF($Y$22="Freely draining",IF($Y$23="550-575",IF($Y$24="Yes",'Data Tables'!AM21,'Data Tables'!AN21),IF($Y$23="575-600",IF($Y$24="Yes",'Data Tables'!AM21,'Data Tables'!AN21),IF($Y$23="600-625",IF($Y$24="Yes",'Data Tables'!AM21,'Data Tables'!AN21),IF($Y$23="625-650",IF($Y$24="Yes",'Data Tables'!AM21,'Data Tables'!AN21),IF($Y$23="650-675",IF($Y$24="Yes",'Data Tables'!AM21,'Data Tables'!AN21),IF($Y$23="675-700",IF($Y$24="Yes",'Data Tables'!AM21,'Data Tables'!AN21),IF($Y$23="700-750",IF($Y$24="Yes",'Data Tables'!AS21,'Data Tables'!AT21),IF($Y$23="750-800",IF($Y$24="Yes",'Data Tables'!AS21,'Data Tables'!AT21),IF($Y$23="800-850",IF($Y$24="Yes",'Data Tables'!AS21,'Data Tables'!AT21),IF($Y$24="Yes",'Data Tables'!AS21,'Data Tables'!AT21)))))))))),IF($Y$22="Impermeable - drained for arable",IF($Y$23="550-575",IF($Y$24="Yes",'Data Tables'!AO21,'Data Tables'!AP21),IF($Y$23="575-600",IF($Y$24="Yes",'Data Tables'!AO21,'Data Tables'!AP21),IF($Y$23="600-625",IF($Y$24="Yes",'Data Tables'!AO21,'Data Tables'!AP21),IF($Y$23="625-650",IF($Y$24="Yes",'Data Tables'!AO21,'Data Tables'!AP21),IF($Y$23="650-675",IF($Y$24="Yes",'Data Tables'!AO21,'Data Tables'!AP21),IF($Y$23="675-700",IF($Y$24="Yes",'Data Tables'!AO21,'Data Tables'!AP21),IF($Y$23="700-750",IF($Y$24="Yes",'Data Tables'!AU21,'Data Tables'!AV21),IF($Y$23="750-800",IF($Y$24="Yes",'Data Tables'!AU21,'Data Tables'!AV21),IF($Y$23="800-850",IF($Y$24="Yes",'Data Tables'!AU21,'Data Tables'!AV21),IF($Y$24="Yes",'Data Tables'!AU21,'Data Tables'!AV21)))))))))),IF($Y$23="550-575",IF($Y$24="Yes",'Data Tables'!AQ21,'Data Tables'!AR21),IF($Y$23="575-600",IF($Y$24="Yes",'Data Tables'!AQ21,'Data Tables'!AR21),IF($Y$23="600-625",IF($Y$24="Yes",'Data Tables'!AQ21,'Data Tables'!AR21),IF($Y$23="625-650",IF($Y$24="Yes",'Data Tables'!AQ21,'Data Tables'!AR21),IF($Y$23="650-675",IF($Y$24="Yes",'Data Tables'!AQ21,'Data Tables'!AR21),IF($Y$23="675-700",IF($Y$24="Yes",'Data Tables'!AQ21,'Data Tables'!AR21),IF($Y$23="700-750",IF($Y$24="Yes",'Data Tables'!AW21,'Data Tables'!AX21),IF($Y$23="750-800",IF($Y$24="Yes",'Data Tables'!AW21,'Data Tables'!AX21),IF($Y$23="800-850",IF($Y$24="Yes",'Data Tables'!AW21,'Data Tables'!AX21),IF($Y$24="Yes",'Data Tables'!AW21,'Data Tables'!AX21))))))))))))),(IF($Y$22="Freely draining",IF($Y$23="550-575",IF($Y$24="Yes",'Data Tables'!AG32,'Data Tables'!AH32),IF($Y$23="575-600",IF($Y$24="Yes",'Data Tables'!AG32,'Data Tables'!AH32),IF($Y$23="600-625",IF($Y$24="Yes",'Data Tables'!AM32,'Data Tables'!AN32),IF($Y$23="625-650",IF($Y$24="Yes",'Data Tables'!AM32,'Data Tables'!AN32),IF($Y$23="650-675",IF($Y$24="Yes",'Data Tables'!AM32,'Data Tables'!AN32),IF($Y$23="675-700",IF($Y$24="Yes",'Data Tables'!AM32,'Data Tables'!AN32),IF($Y$23="700-750",IF($Y$24="Yes",'Data Tables'!AS32,'Data Tables'!AT32),IF($Y$23="750-800",IF($Y$24="Yes",'Data Tables'!AS32,'Data Tables'!AT32),IF($Y$23="800-850",IF($Y$24="Yes",'Data Tables'!AS32,'Data Tables'!AT32),IF($Y$24="Yes",'Data Tables'!AS32,'Data Tables'!AT32)))))))))),IF($Y$22="Impermeable - drained for arable",IF($Y$23="550-575",IF($Y$24="Yes",'Data Tables'!AI32,'Data Tables'!AJ32),IF($Y$23="575-600",IF($Y$24="Yes",'Data Tables'!AI32,'Data Tables'!AJ32),IF($Y$23="600-625",IF($Y$24="Yes",'Data Tables'!AO32,'Data Tables'!AP32),IF($Y$23="625-650",IF($Y$24="Yes",'Data Tables'!AO32,'Data Tables'!AP32),IF($Y$23="650-675",IF($Y$24="Yes",'Data Tables'!AO32,'Data Tables'!AP32),IF($Y$23="675-700",IF($Y$24="Yes",'Data Tables'!AO32,'Data Tables'!AP32),IF($Y$23="700-750",IF($Y$24="Yes",'Data Tables'!AU32,'Data Tables'!AV32),IF($Y$23="750-800",IF($Y$24="Yes",'Data Tables'!AU32,'Data Tables'!AV32),IF($Y$23="800-850",IF($Y$24="Yes",'Data Tables'!AU32,'Data Tables'!AV32),IF($Y$24="Yes",'Data Tables'!AU32,'Data Tables'!AV32)))))))))),IF($Y$23="550-575",IF($Y$24="Yes",'Data Tables'!AK32,'Data Tables'!AL32),IF($Y$23="575-600",IF($Y$24="Yes",'Data Tables'!AK32,'Data Tables'!AL32),IF($Y$23="600-625",IF($Y$24="Yes",'Data Tables'!AQ32,'Data Tables'!AR32),IF($Y$23="625-650",IF($Y$24="Yes",'Data Tables'!AQ32,'Data Tables'!AR32),IF($Y$23="650-675",IF($Y$24="Yes",'Data Tables'!AQ32,'Data Tables'!AR32),IF($Y$23="675-700",IF($Y$24="Yes",'Data Tables'!AQ32,'Data Tables'!AR32),IF($Y$23="700-750",IF($Y$24="Yes",'Data Tables'!AW32,'Data Tables'!AX32),IF($Y$23="750-800",IF($Y$24="Yes",'Data Tables'!AW32,'Data Tables'!AX32),IF($Y$23="800-850",IF($Y$24="Yes",'Data Tables'!AW32,'Data Tables'!AX32),IF($Y$24="Yes",'Data Tables'!AW32,'Data Tables'!AX32))))))))))))))),0),"")</f>
        <v/>
      </c>
      <c r="AC37" s="313"/>
      <c r="AF37" s="94"/>
      <c r="AG37" s="94"/>
      <c r="AH37" s="94"/>
      <c r="AI37" s="94"/>
      <c r="AJ37" s="94"/>
      <c r="AK37" s="94"/>
      <c r="AL37" s="94"/>
      <c r="AM37" s="94"/>
      <c r="AN37" s="94"/>
      <c r="AO37" s="94"/>
      <c r="AP37" s="94"/>
      <c r="AQ37" s="94"/>
      <c r="AR37" s="94"/>
      <c r="AT37" s="94"/>
      <c r="AU37" s="94"/>
      <c r="AV37" s="94"/>
      <c r="AW37" s="94"/>
      <c r="AX37" s="94"/>
      <c r="AY37" s="94"/>
      <c r="AZ37" s="94"/>
      <c r="BA37" s="94"/>
    </row>
    <row r="38" spans="2:53" ht="15.95" customHeight="1" x14ac:dyDescent="0.25">
      <c r="B38" s="46"/>
      <c r="C38" s="42"/>
      <c r="D38" s="227"/>
      <c r="E38" s="432" t="str">
        <f>'Stage 2'!F33</f>
        <v>Cereals</v>
      </c>
      <c r="F38" s="432"/>
      <c r="G38" s="432"/>
      <c r="H38" s="432"/>
      <c r="I38" s="432"/>
      <c r="J38" s="49"/>
      <c r="K38" s="315" t="str">
        <f>IF('Stage 2'!$K33&gt;0,'Stage 2'!O33/'Stage 2'!$K33,"")</f>
        <v/>
      </c>
      <c r="L38" s="230"/>
      <c r="M38" s="273" t="str">
        <f>IF('Stage 2'!$K33&gt;0,'Stage 2'!Q33/'Stage 2'!$K33,"")</f>
        <v/>
      </c>
      <c r="N38" s="238" t="s">
        <v>62</v>
      </c>
      <c r="O38" s="240" t="s">
        <v>81</v>
      </c>
      <c r="P38" s="258"/>
      <c r="Q38" s="49"/>
      <c r="R38" s="49"/>
      <c r="S38" s="49"/>
      <c r="T38" s="432" t="str">
        <f t="shared" si="0"/>
        <v>Cereals</v>
      </c>
      <c r="U38" s="432"/>
      <c r="V38" s="432"/>
      <c r="W38" s="432"/>
      <c r="X38" s="432"/>
      <c r="Y38" s="238" t="s">
        <v>62</v>
      </c>
      <c r="Z38" s="49"/>
      <c r="AA38" s="285" t="str">
        <f>IF($Y$16="Yes",IF($Y38="Yes",IF($Y$21="Wensum",(IF($Y$22="Freely draining",IF($Y$23="550-575",IF($Y$24="Yes",'Data Tables'!Y11,'Data Tables'!Z11),IF($Y$23="575-600",IF($Y$24="Yes",'Data Tables'!Y11,'Data Tables'!Z11),IF($Y$23="600-625",IF($Y$24="Yes",'Data Tables'!Y11,'Data Tables'!Z11),IF($Y$23="625-650",IF($Y$24="Yes",'Data Tables'!Y11,'Data Tables'!Z11),IF($Y$23="650-675",IF($Y$24="Yes",'Data Tables'!Y11,'Data Tables'!Z11),IF($Y$23="675-700",IF($Y$24="Yes",'Data Tables'!Y11,'Data Tables'!Z11),IF($Y$23="700-750",IF($Y$24="Yes",'Data Tables'!AE11,'Data Tables'!AF11),IF($Y$23="750-800",IF($Y$24="Yes",'Data Tables'!AE11,'Data Tables'!AF11),IF($Y$23="800-850",IF($Y$24="Yes",'Data Tables'!AE11,'Data Tables'!AF11),IF($Y$24="Yes",'Data Tables'!AE11,'Data Tables'!AF11)))))))))),IF($Y$22="Impermeable - drained for arable",IF($Y$23="550-575",IF($Y$24="Yes",'Data Tables'!AA11,'Data Tables'!AB11),IF($Y$23="575-600",IF($Y$24="Yes",'Data Tables'!AA11,'Data Tables'!AB11),IF($Y$23="600-625",IF($Y$24="Yes",'Data Tables'!AA11,'Data Tables'!AB11),IF($Y$23="625-650",IF($Y$24="Yes",'Data Tables'!AA11,'Data Tables'!AB11),IF($Y$23="650-675",IF($Y$24="Yes",'Data Tables'!AA11,'Data Tables'!AB11),IF($Y$23="675-700",IF($Y$24="Yes",'Data Tables'!AA11,'Data Tables'!AB11),IF($Y$23="700-750",IF($Y$24="Yes",'Data Tables'!AG11,'Data Tables'!AH11),IF($Y$23="750-800",IF($Y$24="Yes",'Data Tables'!AG11,'Data Tables'!AH11),IF($Y$23="800-850",IF($Y$24="Yes",'Data Tables'!AG11,'Data Tables'!AH11),IF($Y$24="Yes",'Data Tables'!AG11,'Data Tables'!AH11)))))))))),IF($Y$23="550-575",IF($Y$24="Yes",'Data Tables'!AC11,'Data Tables'!AD11),IF($Y$23="575-600",IF($Y$24="Yes",'Data Tables'!AC11,'Data Tables'!AD11),IF($Y$23="600-625",IF($Y$24="Yes",'Data Tables'!AC11,'Data Tables'!AD11),IF($Y$23="625-650",IF($Y$24="Yes",'Data Tables'!AC11,'Data Tables'!AD11),IF($Y$23="650-675",IF($Y$24="Yes",'Data Tables'!AC11,'Data Tables'!AD11),IF($Y$23="675-700",IF($Y$24="Yes",'Data Tables'!AC11,'Data Tables'!AD11),IF($Y$23="700-750",IF($Y$24="Yes",'Data Tables'!AI11,'Data Tables'!AJ11),IF($Y$23="750-800",IF($Y$24="Yes",'Data Tables'!AI11,'Data Tables'!AJ11),IF($Y$23="800-850",IF($Y$24="Yes",'Data Tables'!AI11,'Data Tables'!AJ11),IF($Y$24="Yes",'Data Tables'!AI11,'Data Tables'!AJ11))))))))))))),IF($Y$21="Yare",(IF($Y$22="Freely draining",IF($Y$23="550-575",IF($Y$24="Yes",'Data Tables'!Y22,'Data Tables'!Z22),IF($Y$23="575-600",IF($Y$24="Yes",'Data Tables'!Y22,'Data Tables'!Z22),IF($Y$23="600-625",IF($Y$24="Yes",'Data Tables'!Y22,'Data Tables'!Z22),IF($Y$23="625-650",IF($Y$24="Yes",'Data Tables'!Y22,'Data Tables'!Z22),IF($Y$23="650-675",IF($Y$24="Yes",'Data Tables'!Y22,'Data Tables'!Z22),IF($Y$23="675-700",IF($Y$24="Yes",'Data Tables'!Y22,'Data Tables'!Z22),IF($Y$23="700-750",IF($Y$24="Yes",'Data Tables'!AE22,'Data Tables'!AF22),IF($Y$23="750-800",IF($Y$24="Yes",'Data Tables'!AE22,'Data Tables'!AF22),IF($Y$23="800-850",IF($Y$24="Yes",'Data Tables'!AE22,'Data Tables'!AF22),IF($Y$24="Yes",'Data Tables'!AE22,'Data Tables'!AF22)))))))))),IF($Y$22="Impermeable - drained for arable",IF($Y$23="550-575",IF($Y$24="Yes",'Data Tables'!AA22,'Data Tables'!AB22),IF($Y$23="575-600",IF($Y$24="Yes",'Data Tables'!AA22,'Data Tables'!AB22),IF($Y$23="600-625",IF($Y$24="Yes",'Data Tables'!AA22,'Data Tables'!AB22),IF($Y$23="625-650",IF($Y$24="Yes",'Data Tables'!AA22,'Data Tables'!AB22),IF($Y$23="650-675",IF($Y$24="Yes",'Data Tables'!AA22,'Data Tables'!AB22),IF($Y$23="675-700",IF($Y$24="Yes",'Data Tables'!AA22,'Data Tables'!AB22),IF($Y$23="700-750",IF($Y$24="Yes",'Data Tables'!AG22,'Data Tables'!AH22),IF($Y$23="750-800",IF($Y$24="Yes",'Data Tables'!AG22,'Data Tables'!AH22),IF($Y$23="800-850",IF($Y$24="Yes",'Data Tables'!AG22,'Data Tables'!AH22),IF($Y$24="Yes",'Data Tables'!AG22,'Data Tables'!AH22)))))))))),IF($Y$23="550-575",IF($Y$24="Yes",'Data Tables'!AC22,'Data Tables'!AD22),IF($Y$23="575-600",IF($Y$24="Yes",'Data Tables'!AC22,'Data Tables'!AD22),IF($Y$23="600-625",IF($Y$24="Yes",'Data Tables'!AC22,'Data Tables'!AD22),IF($Y$23="625-650",IF($Y$24="Yes",'Data Tables'!AC22,'Data Tables'!AD22),IF($Y$23="650-675",IF($Y$24="Yes",'Data Tables'!AC22,'Data Tables'!AD22),IF($Y$23="675-700",IF($Y$24="Yes",'Data Tables'!AC22,'Data Tables'!AD22),IF($Y$23="700-750",IF($Y$24="Yes",'Data Tables'!AI22,'Data Tables'!AJ22),IF($Y$23="750-800",IF($Y$24="Yes",'Data Tables'!AI22,'Data Tables'!AJ22),IF($Y$23="800-850",IF($Y$24="Yes",'Data Tables'!AI22,'Data Tables'!AJ22),IF($Y$24="Yes",'Data Tables'!AI22,'Data Tables'!AJ22))))))))))))),(IF($Y$22="Freely draining",IF($Y$23="550-575",IF($Y$24="Yes",'Data Tables'!S33,'Data Tables'!T33),IF($Y$23="575-600",IF($Y$24="Yes",'Data Tables'!S33,'Data Tables'!T33),IF($Y$23="600-625",IF($Y$24="Yes",'Data Tables'!Y33,'Data Tables'!Z33),IF($Y$23="625-650",IF($Y$24="Yes",'Data Tables'!Y33,'Data Tables'!Z33),IF($Y$23="650-675",IF($Y$24="Yes",'Data Tables'!Y33,'Data Tables'!Z33),IF($Y$23="675-700",IF($Y$24="Yes",'Data Tables'!Y33,'Data Tables'!Z33),IF($Y$23="700-750",IF($Y$24="Yes",'Data Tables'!AE33,'Data Tables'!AF33),IF($Y$23="750-800",IF($Y$24="Yes",'Data Tables'!AE33,'Data Tables'!AF33),IF($Y$23="800-850",IF($Y$24="Yes",'Data Tables'!AE33,'Data Tables'!AF33),IF($Y$24="Yes",'Data Tables'!AE33,'Data Tables'!AF33)))))))))),IF($Y$22="Impermeable - drained for arable",IF($Y$23="550-575",IF($Y$24="Yes",'Data Tables'!U33,'Data Tables'!V33),IF($Y$23="575-600",IF($Y$24="Yes",'Data Tables'!U33,'Data Tables'!V33),IF($Y$23="600-625",IF($Y$24="Yes",'Data Tables'!AA33,'Data Tables'!AB33),IF($Y$23="625-650",IF($Y$24="Yes",'Data Tables'!AA33,'Data Tables'!AB33),IF($Y$23="650-675",IF($Y$24="Yes",'Data Tables'!AA33,'Data Tables'!AB33),IF($Y$23="675-700",IF($Y$24="Yes",'Data Tables'!AA33,'Data Tables'!AB33),IF($Y$23="700-750",IF($Y$24="Yes",'Data Tables'!AG33,'Data Tables'!AH33),IF($Y$23="750-800",IF($Y$24="Yes",'Data Tables'!AG33,'Data Tables'!AH33),IF($Y$23="800-850",IF($Y$24="Yes",'Data Tables'!AG33,'Data Tables'!AH33),IF($Y$24="Yes",'Data Tables'!AG33,'Data Tables'!AH33)))))))))),IF($Y$23="550-575",IF($Y$24="Yes",'Data Tables'!W33,'Data Tables'!X33),IF($Y$23="575-600",IF($Y$24="Yes",'Data Tables'!W33,'Data Tables'!X33),IF($Y$23="600-625",IF($Y$24="Yes",'Data Tables'!AC33,'Data Tables'!AD33),IF($Y$23="625-650",IF($Y$24="Yes",'Data Tables'!AC33,'Data Tables'!AD33),IF($Y$23="650-675",IF($Y$24="Yes",'Data Tables'!AC33,'Data Tables'!AD33),IF($Y$23="675-700",IF($Y$24="Yes",'Data Tables'!AC33,'Data Tables'!AD33),IF($Y$23="700-750",IF($Y$24="Yes",'Data Tables'!AI33,'Data Tables'!AJ33),IF($Y$23="750-800",IF($Y$24="Yes",'Data Tables'!AI33,'Data Tables'!AJ33),IF($Y$23="800-850",IF($Y$24="Yes",'Data Tables'!AI33,'Data Tables'!AJ33),IF($Y$24="Yes",'Data Tables'!AI33,'Data Tables'!AJ33))))))))))))))),0),"")</f>
        <v/>
      </c>
      <c r="AB38" s="285" t="str">
        <f>IF($Y$16="Yes",IF($Y38="Yes",IF($Y$21="Wensum",(IF($Y$22="Freely draining",IF($Y$23="550-575",IF($Y$24="Yes",'Data Tables'!AM11,'Data Tables'!AN11),IF($Y$23="575-600",IF($Y$24="Yes",'Data Tables'!AM11,'Data Tables'!AN11),IF($Y$23="600-625",IF($Y$24="Yes",'Data Tables'!AM11,'Data Tables'!AN11),IF($Y$23="625-650",IF($Y$24="Yes",'Data Tables'!AM11,'Data Tables'!AN11),IF($Y$23="650-675",IF($Y$24="Yes",'Data Tables'!AM11,'Data Tables'!AN11),IF($Y$23="675-700",IF($Y$24="Yes",'Data Tables'!AM11,'Data Tables'!AN11),IF($Y$23="700-750",IF($Y$24="Yes",'Data Tables'!AS11,'Data Tables'!AT11),IF($Y$23="750-800",IF($Y$24="Yes",'Data Tables'!AS11,'Data Tables'!AT11),IF($Y$23="800-850",IF($Y$24="Yes",'Data Tables'!AS11,'Data Tables'!AT11),IF($Y$24="Yes",'Data Tables'!AS11,'Data Tables'!AT11)))))))))),IF($Y$22="Impermeable - drained for arable",IF($Y$23="550-575",IF($Y$24="Yes",'Data Tables'!AO11,'Data Tables'!AP11),IF($Y$23="575-600",IF($Y$24="Yes",'Data Tables'!AO11,'Data Tables'!AP11),IF($Y$23="600-625",IF($Y$24="Yes",'Data Tables'!AO11,'Data Tables'!AP11),IF($Y$23="625-650",IF($Y$24="Yes",'Data Tables'!AO11,'Data Tables'!AP11),IF($Y$23="650-675",IF($Y$24="Yes",'Data Tables'!AO11,'Data Tables'!AP11),IF($Y$23="675-700",IF($Y$24="Yes",'Data Tables'!AO11,'Data Tables'!AP11),IF($Y$23="700-750",IF($Y$24="Yes",'Data Tables'!AU11,'Data Tables'!AV11),IF($Y$23="750-800",IF($Y$24="Yes",'Data Tables'!AU11,'Data Tables'!AV11),IF($Y$23="800-850",IF($Y$24="Yes",'Data Tables'!AU11,'Data Tables'!AV11),IF($Y$24="Yes",'Data Tables'!AU11,'Data Tables'!AV11)))))))))),IF($Y$23="550-575",IF($Y$24="Yes",'Data Tables'!AQ11,'Data Tables'!AR11),IF($Y$23="575-600",IF($Y$24="Yes",'Data Tables'!AQ11,'Data Tables'!AR11),IF($Y$23="600-625",IF($Y$24="Yes",'Data Tables'!AQ11,'Data Tables'!AR11),IF($Y$23="625-650",IF($Y$24="Yes",'Data Tables'!AQ11,'Data Tables'!AR11),IF($Y$23="650-675",IF($Y$24="Yes",'Data Tables'!AQ11,'Data Tables'!AR11),IF($Y$23="675-700",IF($Y$24="Yes",'Data Tables'!AQ11,'Data Tables'!AR11),IF($Y$23="700-750",IF($Y$24="Yes",'Data Tables'!AW11,'Data Tables'!AX11),IF($Y$23="750-800",IF($Y$24="Yes",'Data Tables'!AW11,'Data Tables'!AX11),IF($Y$23="800-850",IF($Y$24="Yes",'Data Tables'!AW11,'Data Tables'!AX11),IF($Y$24="Yes",'Data Tables'!AW11,'Data Tables'!AX11))))))))))))),IF($Y$21="Yare",(IF($Y$22="Freely draining",IF($Y$23="550-575",IF($Y$24="Yes",'Data Tables'!AM22,'Data Tables'!AN22),IF($Y$23="575-600",IF($Y$24="Yes",'Data Tables'!AM22,'Data Tables'!AN22),IF($Y$23="600-625",IF($Y$24="Yes",'Data Tables'!AM22,'Data Tables'!AN22),IF($Y$23="625-650",IF($Y$24="Yes",'Data Tables'!AM22,'Data Tables'!AN22),IF($Y$23="650-675",IF($Y$24="Yes",'Data Tables'!AM22,'Data Tables'!AN22),IF($Y$23="675-700",IF($Y$24="Yes",'Data Tables'!AM22,'Data Tables'!AN22),IF($Y$23="700-750",IF($Y$24="Yes",'Data Tables'!AS22,'Data Tables'!AT22),IF($Y$23="750-800",IF($Y$24="Yes",'Data Tables'!AS22,'Data Tables'!AT22),IF($Y$23="800-850",IF($Y$24="Yes",'Data Tables'!AS22,'Data Tables'!AT22),IF($Y$24="Yes",'Data Tables'!AS22,'Data Tables'!AT22)))))))))),IF($Y$22="Impermeable - drained for arable",IF($Y$23="550-575",IF($Y$24="Yes",'Data Tables'!AO22,'Data Tables'!AP22),IF($Y$23="575-600",IF($Y$24="Yes",'Data Tables'!AO22,'Data Tables'!AP22),IF($Y$23="600-625",IF($Y$24="Yes",'Data Tables'!AO22,'Data Tables'!AP22),IF($Y$23="625-650",IF($Y$24="Yes",'Data Tables'!AO22,'Data Tables'!AP22),IF($Y$23="650-675",IF($Y$24="Yes",'Data Tables'!AO22,'Data Tables'!AP22),IF($Y$23="675-700",IF($Y$24="Yes",'Data Tables'!AO22,'Data Tables'!AP22),IF($Y$23="700-750",IF($Y$24="Yes",'Data Tables'!AU22,'Data Tables'!AV22),IF($Y$23="750-800",IF($Y$24="Yes",'Data Tables'!AU22,'Data Tables'!AV22),IF($Y$23="800-850",IF($Y$24="Yes",'Data Tables'!AU22,'Data Tables'!AV22),IF($Y$24="Yes",'Data Tables'!AU22,'Data Tables'!AV22)))))))))),IF($Y$23="550-575",IF($Y$24="Yes",'Data Tables'!AQ22,'Data Tables'!AR22),IF($Y$23="575-600",IF($Y$24="Yes",'Data Tables'!AQ22,'Data Tables'!AR22),IF($Y$23="600-625",IF($Y$24="Yes",'Data Tables'!AQ22,'Data Tables'!AR22),IF($Y$23="625-650",IF($Y$24="Yes",'Data Tables'!AQ22,'Data Tables'!AR22),IF($Y$23="650-675",IF($Y$24="Yes",'Data Tables'!AQ22,'Data Tables'!AR22),IF($Y$23="675-700",IF($Y$24="Yes",'Data Tables'!AQ22,'Data Tables'!AR22),IF($Y$23="700-750",IF($Y$24="Yes",'Data Tables'!AW22,'Data Tables'!AX22),IF($Y$23="750-800",IF($Y$24="Yes",'Data Tables'!AW22,'Data Tables'!AX22),IF($Y$23="800-850",IF($Y$24="Yes",'Data Tables'!AW22,'Data Tables'!AX22),IF($Y$24="Yes",'Data Tables'!AW22,'Data Tables'!AX22))))))))))))),(IF($Y$22="Freely draining",IF($Y$23="550-575",IF($Y$24="Yes",'Data Tables'!AG33,'Data Tables'!AH33),IF($Y$23="575-600",IF($Y$24="Yes",'Data Tables'!AG33,'Data Tables'!AH33),IF($Y$23="600-625",IF($Y$24="Yes",'Data Tables'!AM33,'Data Tables'!AN33),IF($Y$23="625-650",IF($Y$24="Yes",'Data Tables'!AM33,'Data Tables'!AN33),IF($Y$23="650-675",IF($Y$24="Yes",'Data Tables'!AM33,'Data Tables'!AN33),IF($Y$23="675-700",IF($Y$24="Yes",'Data Tables'!AM33,'Data Tables'!AN33),IF($Y$23="700-750",IF($Y$24="Yes",'Data Tables'!AS33,'Data Tables'!AT33),IF($Y$23="750-800",IF($Y$24="Yes",'Data Tables'!AS33,'Data Tables'!AT33),IF($Y$23="800-850",IF($Y$24="Yes",'Data Tables'!AS33,'Data Tables'!AT33),IF($Y$24="Yes",'Data Tables'!AS33,'Data Tables'!AT33)))))))))),IF($Y$22="Impermeable - drained for arable",IF($Y$23="550-575",IF($Y$24="Yes",'Data Tables'!AI33,'Data Tables'!AJ33),IF($Y$23="575-600",IF($Y$24="Yes",'Data Tables'!AI33,'Data Tables'!AJ33),IF($Y$23="600-625",IF($Y$24="Yes",'Data Tables'!AO33,'Data Tables'!AP33),IF($Y$23="625-650",IF($Y$24="Yes",'Data Tables'!AO33,'Data Tables'!AP33),IF($Y$23="650-675",IF($Y$24="Yes",'Data Tables'!AO33,'Data Tables'!AP33),IF($Y$23="675-700",IF($Y$24="Yes",'Data Tables'!AO33,'Data Tables'!AP33),IF($Y$23="700-750",IF($Y$24="Yes",'Data Tables'!AU33,'Data Tables'!AV33),IF($Y$23="750-800",IF($Y$24="Yes",'Data Tables'!AU33,'Data Tables'!AV33),IF($Y$23="800-850",IF($Y$24="Yes",'Data Tables'!AU33,'Data Tables'!AV33),IF($Y$24="Yes",'Data Tables'!AU33,'Data Tables'!AV33)))))))))),IF($Y$23="550-575",IF($Y$24="Yes",'Data Tables'!AK33,'Data Tables'!AL33),IF($Y$23="575-600",IF($Y$24="Yes",'Data Tables'!AK33,'Data Tables'!AL33),IF($Y$23="600-625",IF($Y$24="Yes",'Data Tables'!AQ33,'Data Tables'!AR33),IF($Y$23="625-650",IF($Y$24="Yes",'Data Tables'!AQ33,'Data Tables'!AR33),IF($Y$23="650-675",IF($Y$24="Yes",'Data Tables'!AQ33,'Data Tables'!AR33),IF($Y$23="675-700",IF($Y$24="Yes",'Data Tables'!AQ33,'Data Tables'!AR33),IF($Y$23="700-750",IF($Y$24="Yes",'Data Tables'!AW33,'Data Tables'!AX33),IF($Y$23="750-800",IF($Y$24="Yes",'Data Tables'!AW33,'Data Tables'!AX33),IF($Y$23="800-850",IF($Y$24="Yes",'Data Tables'!AW33,'Data Tables'!AX33),IF($Y$24="Yes",'Data Tables'!AW33,'Data Tables'!AX33))))))))))))))),0),"")</f>
        <v/>
      </c>
      <c r="AC38" s="313"/>
      <c r="AF38" s="94"/>
      <c r="AG38" s="94"/>
      <c r="AH38" s="94"/>
      <c r="AI38" s="94"/>
      <c r="AJ38" s="94"/>
      <c r="AK38" s="94"/>
      <c r="AL38" s="94"/>
      <c r="AM38" s="94"/>
      <c r="AN38" s="94"/>
      <c r="AO38" s="94"/>
      <c r="AP38" s="94"/>
      <c r="AQ38" s="94"/>
      <c r="AR38" s="94"/>
      <c r="AT38" s="94"/>
      <c r="AU38" s="94"/>
      <c r="AV38" s="94"/>
      <c r="AW38" s="94"/>
      <c r="AX38" s="94"/>
      <c r="AY38" s="94"/>
      <c r="AZ38" s="94"/>
      <c r="BA38" s="94"/>
    </row>
    <row r="39" spans="2:53" ht="15.95" customHeight="1" x14ac:dyDescent="0.25">
      <c r="B39" s="46"/>
      <c r="C39" s="42"/>
      <c r="D39" s="227"/>
      <c r="E39" s="432" t="str">
        <f>'Stage 2'!F34</f>
        <v>General arable</v>
      </c>
      <c r="F39" s="432"/>
      <c r="G39" s="432"/>
      <c r="H39" s="432"/>
      <c r="I39" s="432"/>
      <c r="J39" s="49"/>
      <c r="K39" s="315" t="str">
        <f>IF('Stage 2'!$K34&gt;0,'Stage 2'!O34/'Stage 2'!$K34,"")</f>
        <v/>
      </c>
      <c r="L39" s="230"/>
      <c r="M39" s="273" t="str">
        <f>IF('Stage 2'!$K34&gt;0,'Stage 2'!Q34/'Stage 2'!$K34,"")</f>
        <v/>
      </c>
      <c r="N39" s="238" t="s">
        <v>62</v>
      </c>
      <c r="O39" s="240" t="s">
        <v>81</v>
      </c>
      <c r="P39" s="258"/>
      <c r="Q39" s="49"/>
      <c r="R39" s="49"/>
      <c r="S39" s="49"/>
      <c r="T39" s="432" t="str">
        <f t="shared" si="0"/>
        <v>General arable</v>
      </c>
      <c r="U39" s="432"/>
      <c r="V39" s="432"/>
      <c r="W39" s="432"/>
      <c r="X39" s="432"/>
      <c r="Y39" s="238" t="s">
        <v>62</v>
      </c>
      <c r="Z39" s="49"/>
      <c r="AA39" s="285" t="str">
        <f>IF($Y$16="Yes",IF($Y39="Yes",IF($Y$21="Wensum",(IF($Y$22="Freely draining",IF($Y$23="550-575",IF($Y$24="Yes",'Data Tables'!Y12,'Data Tables'!Z12),IF($Y$23="575-600",IF($Y$24="Yes",'Data Tables'!Y12,'Data Tables'!Z12),IF($Y$23="600-625",IF($Y$24="Yes",'Data Tables'!Y12,'Data Tables'!Z12),IF($Y$23="625-650",IF($Y$24="Yes",'Data Tables'!Y12,'Data Tables'!Z12),IF($Y$23="650-675",IF($Y$24="Yes",'Data Tables'!Y12,'Data Tables'!Z12),IF($Y$23="675-700",IF($Y$24="Yes",'Data Tables'!Y12,'Data Tables'!Z12),IF($Y$23="700-750",IF($Y$24="Yes",'Data Tables'!AE12,'Data Tables'!AF12),IF($Y$23="750-800",IF($Y$24="Yes",'Data Tables'!AE12,'Data Tables'!AF12),IF($Y$23="800-850",IF($Y$24="Yes",'Data Tables'!AE12,'Data Tables'!AF12),IF($Y$24="Yes",'Data Tables'!AE12,'Data Tables'!AF12)))))))))),IF($Y$22="Impermeable - drained for arable",IF($Y$23="550-575",IF($Y$24="Yes",'Data Tables'!AA12,'Data Tables'!AB12),IF($Y$23="575-600",IF($Y$24="Yes",'Data Tables'!AA12,'Data Tables'!AB12),IF($Y$23="600-625",IF($Y$24="Yes",'Data Tables'!AA12,'Data Tables'!AB12),IF($Y$23="625-650",IF($Y$24="Yes",'Data Tables'!AA12,'Data Tables'!AB12),IF($Y$23="650-675",IF($Y$24="Yes",'Data Tables'!AA12,'Data Tables'!AB12),IF($Y$23="675-700",IF($Y$24="Yes",'Data Tables'!AA12,'Data Tables'!AB12),IF($Y$23="700-750",IF($Y$24="Yes",'Data Tables'!AG12,'Data Tables'!AH12),IF($Y$23="750-800",IF($Y$24="Yes",'Data Tables'!AG12,'Data Tables'!AH12),IF($Y$23="800-850",IF($Y$24="Yes",'Data Tables'!AG12,'Data Tables'!AH12),IF($Y$24="Yes",'Data Tables'!AG12,'Data Tables'!AH12)))))))))),IF($Y$23="550-575",IF($Y$24="Yes",'Data Tables'!AC12,'Data Tables'!AD12),IF($Y$23="575-600",IF($Y$24="Yes",'Data Tables'!AC12,'Data Tables'!AD12),IF($Y$23="600-625",IF($Y$24="Yes",'Data Tables'!AC12,'Data Tables'!AD12),IF($Y$23="625-650",IF($Y$24="Yes",'Data Tables'!AC12,'Data Tables'!AD12),IF($Y$23="650-675",IF($Y$24="Yes",'Data Tables'!AC12,'Data Tables'!AD12),IF($Y$23="675-700",IF($Y$24="Yes",'Data Tables'!AC12,'Data Tables'!AD12),IF($Y$23="700-750",IF($Y$24="Yes",'Data Tables'!AI12,'Data Tables'!AJ12),IF($Y$23="750-800",IF($Y$24="Yes",'Data Tables'!AI12,'Data Tables'!AJ12),IF($Y$23="800-850",IF($Y$24="Yes",'Data Tables'!AI12,'Data Tables'!AJ12),IF($Y$24="Yes",'Data Tables'!AI12,'Data Tables'!AJ12))))))))))))),IF($Y$21="Yare",(IF($Y$22="Freely draining",IF($Y$23="550-575",IF($Y$24="Yes",'Data Tables'!Y23,'Data Tables'!Z23),IF($Y$23="575-600",IF($Y$24="Yes",'Data Tables'!Y23,'Data Tables'!Z23),IF($Y$23="600-625",IF($Y$24="Yes",'Data Tables'!Y23,'Data Tables'!Z23),IF($Y$23="625-650",IF($Y$24="Yes",'Data Tables'!Y23,'Data Tables'!Z23),IF($Y$23="650-675",IF($Y$24="Yes",'Data Tables'!Y23,'Data Tables'!Z23),IF($Y$23="675-700",IF($Y$24="Yes",'Data Tables'!Y23,'Data Tables'!Z23),IF($Y$23="700-750",IF($Y$24="Yes",'Data Tables'!AE23,'Data Tables'!AF23),IF($Y$23="750-800",IF($Y$24="Yes",'Data Tables'!AE23,'Data Tables'!AF23),IF($Y$23="800-850",IF($Y$24="Yes",'Data Tables'!AE23,'Data Tables'!AF23),IF($Y$24="Yes",'Data Tables'!AE23,'Data Tables'!AF23)))))))))),IF($Y$22="Impermeable - drained for arable",IF($Y$23="550-575",IF($Y$24="Yes",'Data Tables'!AA23,'Data Tables'!AB23),IF($Y$23="575-600",IF($Y$24="Yes",'Data Tables'!AA23,'Data Tables'!AB23),IF($Y$23="600-625",IF($Y$24="Yes",'Data Tables'!AA23,'Data Tables'!AB23),IF($Y$23="625-650",IF($Y$24="Yes",'Data Tables'!AA23,'Data Tables'!AB23),IF($Y$23="650-675",IF($Y$24="Yes",'Data Tables'!AA23,'Data Tables'!AB23),IF($Y$23="675-700",IF($Y$24="Yes",'Data Tables'!AA23,'Data Tables'!AB23),IF($Y$23="700-750",IF($Y$24="Yes",'Data Tables'!AG23,'Data Tables'!AH23),IF($Y$23="750-800",IF($Y$24="Yes",'Data Tables'!AG23,'Data Tables'!AH23),IF($Y$23="800-850",IF($Y$24="Yes",'Data Tables'!AG23,'Data Tables'!AH23),IF($Y$24="Yes",'Data Tables'!AG23,'Data Tables'!AH23)))))))))),IF($Y$23="550-575",IF($Y$24="Yes",'Data Tables'!AC23,'Data Tables'!AD23),IF($Y$23="575-600",IF($Y$24="Yes",'Data Tables'!AC23,'Data Tables'!AD23),IF($Y$23="600-625",IF($Y$24="Yes",'Data Tables'!AC23,'Data Tables'!AD23),IF($Y$23="625-650",IF($Y$24="Yes",'Data Tables'!AC23,'Data Tables'!AD23),IF($Y$23="650-675",IF($Y$24="Yes",'Data Tables'!AC23,'Data Tables'!AD23),IF($Y$23="675-700",IF($Y$24="Yes",'Data Tables'!AC23,'Data Tables'!AD23),IF($Y$23="700-750",IF($Y$24="Yes",'Data Tables'!AI23,'Data Tables'!AJ23),IF($Y$23="750-800",IF($Y$24="Yes",'Data Tables'!AI23,'Data Tables'!AJ23),IF($Y$23="800-850",IF($Y$24="Yes",'Data Tables'!AI23,'Data Tables'!AJ23),IF($Y$24="Yes",'Data Tables'!AI23,'Data Tables'!AJ23))))))))))))),(IF($Y$22="Freely draining",IF($Y$23="550-575",IF($Y$24="Yes",'Data Tables'!S34,'Data Tables'!T34),IF($Y$23="575-600",IF($Y$24="Yes",'Data Tables'!S34,'Data Tables'!T34),IF($Y$23="600-625",IF($Y$24="Yes",'Data Tables'!Y34,'Data Tables'!Z34),IF($Y$23="625-650",IF($Y$24="Yes",'Data Tables'!Y34,'Data Tables'!Z34),IF($Y$23="650-675",IF($Y$24="Yes",'Data Tables'!Y34,'Data Tables'!Z34),IF($Y$23="675-700",IF($Y$24="Yes",'Data Tables'!Y34,'Data Tables'!Z34),IF($Y$23="700-750",IF($Y$24="Yes",'Data Tables'!AE34,'Data Tables'!AF34),IF($Y$23="750-800",IF($Y$24="Yes",'Data Tables'!AE34,'Data Tables'!AF34),IF($Y$23="800-850",IF($Y$24="Yes",'Data Tables'!AE34,'Data Tables'!AF34),IF($Y$24="Yes",'Data Tables'!AE34,'Data Tables'!AF34)))))))))),IF($Y$22="Impermeable - drained for arable",IF($Y$23="550-575",IF($Y$24="Yes",'Data Tables'!U34,'Data Tables'!V34),IF($Y$23="575-600",IF($Y$24="Yes",'Data Tables'!U34,'Data Tables'!V34),IF($Y$23="600-625",IF($Y$24="Yes",'Data Tables'!AA34,'Data Tables'!AB34),IF($Y$23="625-650",IF($Y$24="Yes",'Data Tables'!AA34,'Data Tables'!AB34),IF($Y$23="650-675",IF($Y$24="Yes",'Data Tables'!AA34,'Data Tables'!AB34),IF($Y$23="675-700",IF($Y$24="Yes",'Data Tables'!AA34,'Data Tables'!AB34),IF($Y$23="700-750",IF($Y$24="Yes",'Data Tables'!AG34,'Data Tables'!AH34),IF($Y$23="750-800",IF($Y$24="Yes",'Data Tables'!AG34,'Data Tables'!AH34),IF($Y$23="800-850",IF($Y$24="Yes",'Data Tables'!AG34,'Data Tables'!AH34),IF($Y$24="Yes",'Data Tables'!AG34,'Data Tables'!AH34)))))))))),IF($Y$23="550-575",IF($Y$24="Yes",'Data Tables'!W34,'Data Tables'!X34),IF($Y$23="575-600",IF($Y$24="Yes",'Data Tables'!W34,'Data Tables'!X34),IF($Y$23="600-625",IF($Y$24="Yes",'Data Tables'!AC34,'Data Tables'!AD34),IF($Y$23="625-650",IF($Y$24="Yes",'Data Tables'!AC34,'Data Tables'!AD34),IF($Y$23="650-675",IF($Y$24="Yes",'Data Tables'!AC34,'Data Tables'!AD34),IF($Y$23="675-700",IF($Y$24="Yes",'Data Tables'!AC34,'Data Tables'!AD34),IF($Y$23="700-750",IF($Y$24="Yes",'Data Tables'!AI34,'Data Tables'!AJ34),IF($Y$23="750-800",IF($Y$24="Yes",'Data Tables'!AI34,'Data Tables'!AJ34),IF($Y$23="800-850",IF($Y$24="Yes",'Data Tables'!AI34,'Data Tables'!AJ34),IF($Y$24="Yes",'Data Tables'!AI34,'Data Tables'!AJ34))))))))))))))),0),"")</f>
        <v/>
      </c>
      <c r="AB39" s="285" t="str">
        <f>IF($Y$16="Yes",IF($Y39="Yes",IF($Y$21="Wensum",(IF($Y$22="Freely draining",IF($Y$23="550-575",IF($Y$24="Yes",'Data Tables'!AM12,'Data Tables'!AN12),IF($Y$23="575-600",IF($Y$24="Yes",'Data Tables'!AM12,'Data Tables'!AN12),IF($Y$23="600-625",IF($Y$24="Yes",'Data Tables'!AM12,'Data Tables'!AN12),IF($Y$23="625-650",IF($Y$24="Yes",'Data Tables'!AM12,'Data Tables'!AN12),IF($Y$23="650-675",IF($Y$24="Yes",'Data Tables'!AM12,'Data Tables'!AN12),IF($Y$23="675-700",IF($Y$24="Yes",'Data Tables'!AM12,'Data Tables'!AN12),IF($Y$23="700-750",IF($Y$24="Yes",'Data Tables'!AS12,'Data Tables'!AT12),IF($Y$23="750-800",IF($Y$24="Yes",'Data Tables'!AS12,'Data Tables'!AT12),IF($Y$23="800-850",IF($Y$24="Yes",'Data Tables'!AS12,'Data Tables'!AT12),IF($Y$24="Yes",'Data Tables'!AS12,'Data Tables'!AT12)))))))))),IF($Y$22="Impermeable - drained for arable",IF($Y$23="550-575",IF($Y$24="Yes",'Data Tables'!AO12,'Data Tables'!AP12),IF($Y$23="575-600",IF($Y$24="Yes",'Data Tables'!AO12,'Data Tables'!AP12),IF($Y$23="600-625",IF($Y$24="Yes",'Data Tables'!AO12,'Data Tables'!AP12),IF($Y$23="625-650",IF($Y$24="Yes",'Data Tables'!AO12,'Data Tables'!AP12),IF($Y$23="650-675",IF($Y$24="Yes",'Data Tables'!AO12,'Data Tables'!AP12),IF($Y$23="675-700",IF($Y$24="Yes",'Data Tables'!AO12,'Data Tables'!AP12),IF($Y$23="700-750",IF($Y$24="Yes",'Data Tables'!AU12,'Data Tables'!AV12),IF($Y$23="750-800",IF($Y$24="Yes",'Data Tables'!AU12,'Data Tables'!AV12),IF($Y$23="800-850",IF($Y$24="Yes",'Data Tables'!AU12,'Data Tables'!AV12),IF($Y$24="Yes",'Data Tables'!AU12,'Data Tables'!AV12)))))))))),IF($Y$23="550-575",IF($Y$24="Yes",'Data Tables'!AQ12,'Data Tables'!AR12),IF($Y$23="575-600",IF($Y$24="Yes",'Data Tables'!AQ12,'Data Tables'!AR12),IF($Y$23="600-625",IF($Y$24="Yes",'Data Tables'!AQ12,'Data Tables'!AR12),IF($Y$23="625-650",IF($Y$24="Yes",'Data Tables'!AQ12,'Data Tables'!AR12),IF($Y$23="650-675",IF($Y$24="Yes",'Data Tables'!AQ12,'Data Tables'!AR12),IF($Y$23="675-700",IF($Y$24="Yes",'Data Tables'!AQ12,'Data Tables'!AR12),IF($Y$23="700-750",IF($Y$24="Yes",'Data Tables'!AW12,'Data Tables'!AX12),IF($Y$23="750-800",IF($Y$24="Yes",'Data Tables'!AW12,'Data Tables'!AX12),IF($Y$23="800-850",IF($Y$24="Yes",'Data Tables'!AW12,'Data Tables'!AX12),IF($Y$24="Yes",'Data Tables'!AW12,'Data Tables'!AX12))))))))))))),IF($Y$21="Yare",(IF($Y$22="Freely draining",IF($Y$23="550-575",IF($Y$24="Yes",'Data Tables'!AM23,'Data Tables'!AN23),IF($Y$23="575-600",IF($Y$24="Yes",'Data Tables'!AM23,'Data Tables'!AN23),IF($Y$23="600-625",IF($Y$24="Yes",'Data Tables'!AM23,'Data Tables'!AN23),IF($Y$23="625-650",IF($Y$24="Yes",'Data Tables'!AM23,'Data Tables'!AN23),IF($Y$23="650-675",IF($Y$24="Yes",'Data Tables'!AM23,'Data Tables'!AN23),IF($Y$23="675-700",IF($Y$24="Yes",'Data Tables'!AM23,'Data Tables'!AN23),IF($Y$23="700-750",IF($Y$24="Yes",'Data Tables'!AS23,'Data Tables'!AT23),IF($Y$23="750-800",IF($Y$24="Yes",'Data Tables'!AS23,'Data Tables'!AT23),IF($Y$23="800-850",IF($Y$24="Yes",'Data Tables'!AS23,'Data Tables'!AT23),IF($Y$24="Yes",'Data Tables'!AS23,'Data Tables'!AT23)))))))))),IF($Y$22="Impermeable - drained for arable",IF($Y$23="550-575",IF($Y$24="Yes",'Data Tables'!AO23,'Data Tables'!AP23),IF($Y$23="575-600",IF($Y$24="Yes",'Data Tables'!AO23,'Data Tables'!AP23),IF($Y$23="600-625",IF($Y$24="Yes",'Data Tables'!AO23,'Data Tables'!AP23),IF($Y$23="625-650",IF($Y$24="Yes",'Data Tables'!AO23,'Data Tables'!AP23),IF($Y$23="650-675",IF($Y$24="Yes",'Data Tables'!AO23,'Data Tables'!AP23),IF($Y$23="675-700",IF($Y$24="Yes",'Data Tables'!AO23,'Data Tables'!AP23),IF($Y$23="700-750",IF($Y$24="Yes",'Data Tables'!AU23,'Data Tables'!AV23),IF($Y$23="750-800",IF($Y$24="Yes",'Data Tables'!AU23,'Data Tables'!AV23),IF($Y$23="800-850",IF($Y$24="Yes",'Data Tables'!AU23,'Data Tables'!AV23),IF($Y$24="Yes",'Data Tables'!AU23,'Data Tables'!AV23)))))))))),IF($Y$23="550-575",IF($Y$24="Yes",'Data Tables'!AQ23,'Data Tables'!AR23),IF($Y$23="575-600",IF($Y$24="Yes",'Data Tables'!AQ23,'Data Tables'!AR23),IF($Y$23="600-625",IF($Y$24="Yes",'Data Tables'!AQ23,'Data Tables'!AR23),IF($Y$23="625-650",IF($Y$24="Yes",'Data Tables'!AQ23,'Data Tables'!AR23),IF($Y$23="650-675",IF($Y$24="Yes",'Data Tables'!AQ23,'Data Tables'!AR23),IF($Y$23="675-700",IF($Y$24="Yes",'Data Tables'!AQ23,'Data Tables'!AR23),IF($Y$23="700-750",IF($Y$24="Yes",'Data Tables'!AW23,'Data Tables'!AX23),IF($Y$23="750-800",IF($Y$24="Yes",'Data Tables'!AW23,'Data Tables'!AX23),IF($Y$23="800-850",IF($Y$24="Yes",'Data Tables'!AW23,'Data Tables'!AX23),IF($Y$24="Yes",'Data Tables'!AW23,'Data Tables'!AX23))))))))))))),(IF($Y$22="Freely draining",IF($Y$23="550-575",IF($Y$24="Yes",'Data Tables'!AG34,'Data Tables'!AH34),IF($Y$23="575-600",IF($Y$24="Yes",'Data Tables'!AG34,'Data Tables'!AH34),IF($Y$23="600-625",IF($Y$24="Yes",'Data Tables'!AM34,'Data Tables'!AN34),IF($Y$23="625-650",IF($Y$24="Yes",'Data Tables'!AM34,'Data Tables'!AN34),IF($Y$23="650-675",IF($Y$24="Yes",'Data Tables'!AM34,'Data Tables'!AN34),IF($Y$23="675-700",IF($Y$24="Yes",'Data Tables'!AM34,'Data Tables'!AN34),IF($Y$23="700-750",IF($Y$24="Yes",'Data Tables'!AS34,'Data Tables'!AT34),IF($Y$23="750-800",IF($Y$24="Yes",'Data Tables'!AS34,'Data Tables'!AT34),IF($Y$23="800-850",IF($Y$24="Yes",'Data Tables'!AS34,'Data Tables'!AT34),IF($Y$24="Yes",'Data Tables'!AS34,'Data Tables'!AT34)))))))))),IF($Y$22="Impermeable - drained for arable",IF($Y$23="550-575",IF($Y$24="Yes",'Data Tables'!AI34,'Data Tables'!AJ34),IF($Y$23="575-600",IF($Y$24="Yes",'Data Tables'!AI34,'Data Tables'!AJ34),IF($Y$23="600-625",IF($Y$24="Yes",'Data Tables'!AO34,'Data Tables'!AP34),IF($Y$23="625-650",IF($Y$24="Yes",'Data Tables'!AO34,'Data Tables'!AP34),IF($Y$23="650-675",IF($Y$24="Yes",'Data Tables'!AO34,'Data Tables'!AP34),IF($Y$23="675-700",IF($Y$24="Yes",'Data Tables'!AO34,'Data Tables'!AP34),IF($Y$23="700-750",IF($Y$24="Yes",'Data Tables'!AU34,'Data Tables'!AV34),IF($Y$23="750-800",IF($Y$24="Yes",'Data Tables'!AU34,'Data Tables'!AV34),IF($Y$23="800-850",IF($Y$24="Yes",'Data Tables'!AU34,'Data Tables'!AV34),IF($Y$24="Yes",'Data Tables'!AU34,'Data Tables'!AV34)))))))))),IF($Y$23="550-575",IF($Y$24="Yes",'Data Tables'!AK34,'Data Tables'!AL34),IF($Y$23="575-600",IF($Y$24="Yes",'Data Tables'!AK34,'Data Tables'!AL34),IF($Y$23="600-625",IF($Y$24="Yes",'Data Tables'!AQ34,'Data Tables'!AR34),IF($Y$23="625-650",IF($Y$24="Yes",'Data Tables'!AQ34,'Data Tables'!AR34),IF($Y$23="650-675",IF($Y$24="Yes",'Data Tables'!AQ34,'Data Tables'!AR34),IF($Y$23="675-700",IF($Y$24="Yes",'Data Tables'!AQ34,'Data Tables'!AR34),IF($Y$23="700-750",IF($Y$24="Yes",'Data Tables'!AW34,'Data Tables'!AX34),IF($Y$23="750-800",IF($Y$24="Yes",'Data Tables'!AW34,'Data Tables'!AX34),IF($Y$23="800-850",IF($Y$24="Yes",'Data Tables'!AW34,'Data Tables'!AX34),IF($Y$24="Yes",'Data Tables'!AW34,'Data Tables'!AX34))))))))))))))),0),"")</f>
        <v/>
      </c>
      <c r="AC39" s="313"/>
      <c r="AF39" s="94"/>
      <c r="AG39" s="94"/>
      <c r="AH39" s="94"/>
      <c r="AI39" s="94"/>
      <c r="AJ39" s="94"/>
      <c r="AK39" s="94"/>
      <c r="AL39" s="94"/>
      <c r="AM39" s="94"/>
      <c r="AN39" s="94"/>
      <c r="AO39" s="94"/>
      <c r="AP39" s="94"/>
      <c r="AQ39" s="94"/>
      <c r="AR39" s="94"/>
      <c r="AT39" s="94"/>
      <c r="AU39" s="94"/>
      <c r="AV39" s="94"/>
      <c r="AW39" s="94"/>
      <c r="AX39" s="94"/>
      <c r="AY39" s="94"/>
      <c r="AZ39" s="94"/>
      <c r="BA39" s="94"/>
    </row>
    <row r="40" spans="2:53" ht="15.95" customHeight="1" x14ac:dyDescent="0.25">
      <c r="B40" s="46"/>
      <c r="C40" s="42"/>
      <c r="D40" s="227"/>
      <c r="E40" s="432" t="str">
        <f>'Stage 2'!F35</f>
        <v>Allotments and city farms</v>
      </c>
      <c r="F40" s="432"/>
      <c r="G40" s="432"/>
      <c r="H40" s="432"/>
      <c r="I40" s="432"/>
      <c r="J40" s="49"/>
      <c r="K40" s="290" t="str">
        <f>IF('Stage 2'!K35&gt;0,'Data Tables'!O3,"")</f>
        <v/>
      </c>
      <c r="L40" s="269"/>
      <c r="M40" s="273"/>
      <c r="N40" s="238" t="s">
        <v>62</v>
      </c>
      <c r="O40" s="240" t="s">
        <v>81</v>
      </c>
      <c r="P40" s="258"/>
      <c r="Q40" s="49"/>
      <c r="R40" s="49"/>
      <c r="S40" s="49"/>
      <c r="T40" s="432" t="str">
        <f t="shared" si="0"/>
        <v>Allotments and city farms</v>
      </c>
      <c r="U40" s="432"/>
      <c r="V40" s="432"/>
      <c r="W40" s="432"/>
      <c r="X40" s="432"/>
      <c r="Y40" s="238" t="s">
        <v>62</v>
      </c>
      <c r="Z40" s="49"/>
      <c r="AA40" s="285" t="str">
        <f>IF($Y$16="Yes",(IF(Y40="Yes",'Data Tables'!O3,0)),"")</f>
        <v/>
      </c>
      <c r="AB40" s="285" t="str">
        <f>IF($Y$16="Yes",(IF(Z40="Yes",'Data Tables'!P3,0)),"")</f>
        <v/>
      </c>
      <c r="AC40" s="313"/>
    </row>
    <row r="41" spans="2:53" ht="15.95" customHeight="1" x14ac:dyDescent="0.25">
      <c r="B41" s="46"/>
      <c r="C41" s="42"/>
      <c r="D41" s="227"/>
      <c r="E41" s="432" t="str">
        <f>'Stage 2'!F36</f>
        <v>Woodland (e.g. conifer, mixed, broad-leaved)</v>
      </c>
      <c r="F41" s="432"/>
      <c r="G41" s="432"/>
      <c r="H41" s="432"/>
      <c r="I41" s="432"/>
      <c r="J41" s="49"/>
      <c r="K41" s="290" t="str">
        <f>IF('Stage 2'!K36&gt;0,'Data Tables'!O5,"")</f>
        <v/>
      </c>
      <c r="L41" s="269"/>
      <c r="M41" s="273"/>
      <c r="N41" s="238" t="s">
        <v>62</v>
      </c>
      <c r="O41" s="240" t="s">
        <v>81</v>
      </c>
      <c r="P41" s="258"/>
      <c r="Q41" s="49"/>
      <c r="R41" s="49"/>
      <c r="S41" s="49"/>
      <c r="T41" s="432" t="str">
        <f t="shared" si="0"/>
        <v>Woodland (e.g. conifer, mixed, broad-leaved)</v>
      </c>
      <c r="U41" s="432"/>
      <c r="V41" s="432"/>
      <c r="W41" s="432"/>
      <c r="X41" s="432"/>
      <c r="Y41" s="238" t="s">
        <v>62</v>
      </c>
      <c r="Z41" s="49"/>
      <c r="AA41" s="285" t="str">
        <f>IF($Y$16="Yes",(IF(Y41="Yes",'Data Tables'!O5,0)),"")</f>
        <v/>
      </c>
      <c r="AB41" s="285" t="str">
        <f>IF($Y$16="Yes",(IF(Z41="Yes",'Data Tables'!P5,0)),"")</f>
        <v/>
      </c>
      <c r="AC41" s="313"/>
    </row>
    <row r="42" spans="2:53" ht="15.95" customHeight="1" x14ac:dyDescent="0.25">
      <c r="B42" s="46"/>
      <c r="C42" s="42"/>
      <c r="D42" s="227"/>
      <c r="E42" s="432" t="str">
        <f>'Stage 2'!F37</f>
        <v>Greenspace</v>
      </c>
      <c r="F42" s="432"/>
      <c r="G42" s="432"/>
      <c r="H42" s="432"/>
      <c r="I42" s="432"/>
      <c r="J42" s="49"/>
      <c r="K42" s="290" t="str">
        <f>IF('Stage 2'!K37&gt;0,'Data Tables'!O4,"")</f>
        <v/>
      </c>
      <c r="L42" s="269"/>
      <c r="M42" s="273"/>
      <c r="N42" s="238" t="s">
        <v>62</v>
      </c>
      <c r="O42" s="240" t="s">
        <v>81</v>
      </c>
      <c r="P42" s="258"/>
      <c r="Q42" s="49"/>
      <c r="R42" s="49"/>
      <c r="S42" s="49"/>
      <c r="T42" s="432" t="str">
        <f t="shared" si="0"/>
        <v>Greenspace</v>
      </c>
      <c r="U42" s="432"/>
      <c r="V42" s="432"/>
      <c r="W42" s="432"/>
      <c r="X42" s="432"/>
      <c r="Y42" s="238" t="s">
        <v>62</v>
      </c>
      <c r="Z42" s="49"/>
      <c r="AA42" s="285" t="str">
        <f>IF($Y$16="Yes",(IF(Y42="Yes",'Data Tables'!O4,0)),"")</f>
        <v/>
      </c>
      <c r="AB42" s="285" t="str">
        <f>IF($Y$16="Yes",(IF(Z42="Yes",'Data Tables'!P4,0)),"")</f>
        <v/>
      </c>
      <c r="AC42" s="313"/>
    </row>
    <row r="43" spans="2:53" ht="15.95" customHeight="1" x14ac:dyDescent="0.25">
      <c r="B43" s="46"/>
      <c r="C43" s="42"/>
      <c r="D43" s="227"/>
      <c r="E43" s="432" t="str">
        <f>'Stage 2'!F38</f>
        <v>Shrub / heathland / bracken / bog</v>
      </c>
      <c r="F43" s="432"/>
      <c r="G43" s="432"/>
      <c r="H43" s="432"/>
      <c r="I43" s="432"/>
      <c r="J43" s="49"/>
      <c r="K43" s="290" t="str">
        <f>IF('Stage 2'!K38&gt;0,'Data Tables'!O6,"")</f>
        <v/>
      </c>
      <c r="L43" s="269"/>
      <c r="M43" s="273"/>
      <c r="N43" s="238" t="s">
        <v>62</v>
      </c>
      <c r="O43" s="240" t="s">
        <v>81</v>
      </c>
      <c r="P43" s="258"/>
      <c r="Q43" s="49"/>
      <c r="R43" s="49"/>
      <c r="S43" s="49"/>
      <c r="T43" s="432" t="str">
        <f t="shared" si="0"/>
        <v>Shrub / heathland / bracken / bog</v>
      </c>
      <c r="U43" s="432"/>
      <c r="V43" s="432"/>
      <c r="W43" s="432"/>
      <c r="X43" s="432"/>
      <c r="Y43" s="238" t="s">
        <v>62</v>
      </c>
      <c r="Z43" s="49"/>
      <c r="AA43" s="285" t="str">
        <f>IF($Y$16="Yes",(IF(Y43="Yes",'Data Tables'!O6,0)),"")</f>
        <v/>
      </c>
      <c r="AB43" s="285" t="str">
        <f>IF($Y$16="Yes",(IF(Z43="Yes",'Data Tables'!P6,0)),"")</f>
        <v/>
      </c>
      <c r="AC43" s="313"/>
    </row>
    <row r="44" spans="2:53" ht="15" customHeight="1" x14ac:dyDescent="0.25">
      <c r="B44" s="46"/>
      <c r="C44" s="42"/>
      <c r="D44" s="227"/>
      <c r="E44" s="432" t="str">
        <f>'Stage 2'!F39</f>
        <v>Water</v>
      </c>
      <c r="F44" s="432"/>
      <c r="G44" s="432"/>
      <c r="H44" s="432"/>
      <c r="I44" s="432"/>
      <c r="J44" s="49"/>
      <c r="K44" s="290" t="str">
        <f>IF('Stage 2'!K39&gt;0,'Data Tables'!O7,"")</f>
        <v/>
      </c>
      <c r="L44" s="269"/>
      <c r="M44" s="273"/>
      <c r="N44" s="238" t="s">
        <v>62</v>
      </c>
      <c r="O44" s="240" t="s">
        <v>81</v>
      </c>
      <c r="P44" s="258"/>
      <c r="Q44" s="49"/>
      <c r="R44" s="49"/>
      <c r="S44" s="49"/>
      <c r="T44" s="432" t="str">
        <f t="shared" si="0"/>
        <v>Water</v>
      </c>
      <c r="U44" s="432"/>
      <c r="V44" s="432"/>
      <c r="W44" s="432"/>
      <c r="X44" s="432"/>
      <c r="Y44" s="238" t="s">
        <v>62</v>
      </c>
      <c r="Z44" s="49"/>
      <c r="AA44" s="285" t="str">
        <f>IF($Y$16="Yes",(IF(Y44="Yes",'Data Tables'!O7,0)),"")</f>
        <v/>
      </c>
      <c r="AB44" s="285" t="str">
        <f>IF($Y$16="Yes",(IF(Z44="Yes",'Data Tables'!P7,0)),"")</f>
        <v/>
      </c>
      <c r="AC44" s="313"/>
    </row>
    <row r="45" spans="2:53" ht="15.95" customHeight="1" x14ac:dyDescent="0.25">
      <c r="B45" s="46"/>
      <c r="C45" s="42"/>
      <c r="D45" s="227"/>
      <c r="E45" s="49"/>
      <c r="F45" s="38"/>
      <c r="G45" s="49"/>
      <c r="H45" s="49"/>
      <c r="I45" s="49"/>
      <c r="J45" s="49"/>
      <c r="K45" s="269"/>
      <c r="L45" s="269"/>
      <c r="M45" s="269"/>
      <c r="N45" s="49"/>
      <c r="O45" s="246"/>
      <c r="P45" s="258"/>
      <c r="Q45" s="49"/>
      <c r="R45" s="49"/>
      <c r="S45" s="49"/>
      <c r="T45" s="49"/>
      <c r="U45" s="49"/>
      <c r="V45" s="49"/>
      <c r="W45" s="49"/>
      <c r="X45" s="49"/>
      <c r="Y45" s="144" t="s">
        <v>436</v>
      </c>
      <c r="Z45" s="144" t="s">
        <v>437</v>
      </c>
      <c r="AA45" s="49"/>
      <c r="AB45" s="49"/>
      <c r="AC45" s="313"/>
    </row>
    <row r="46" spans="2:53" ht="17.45" customHeight="1" x14ac:dyDescent="0.25">
      <c r="B46" s="46"/>
      <c r="C46" s="42"/>
      <c r="D46" s="227"/>
      <c r="E46" s="445" t="s">
        <v>89</v>
      </c>
      <c r="F46" s="445"/>
      <c r="G46" s="445"/>
      <c r="H46" s="445"/>
      <c r="I46" s="445"/>
      <c r="J46" s="49"/>
      <c r="K46" s="273">
        <f>IF(K16="Yes",(IF(N22="Yes",K22,0)+IF(N27="Yes",K27,0)+IF(N28="Yes",K28,0)+IF(N29="Yes",K29,0)+IF(N30="Yes",K30,0)+IF(N31="Yes",K31,0)+IF(N32="Yes",K32,0)+IF(N33="Yes",K33,0)+IF(N34="Yes",K34,0)+IF(N35="Yes",K35,0)+IF(N36="Yes",K36,0)+IF(N37="Yes",K37,0)+IF(N38="Yes",K38,0)+IF(N39="Yes",K39,0)+IF(N40="Yes",K40,0)+IF(N41="Yes",K41,0)+IF(N42="Yes",K42,0)+IF(N43="Yes",K43,0)+IF(N44="Yes",K44,0))/COUNTIF(N22:N44,"Yes"),0)</f>
        <v>0</v>
      </c>
      <c r="L46" s="269"/>
      <c r="M46" s="273">
        <f>IF(K16="Yes",(IF(N22="Yes",M22,0)+IF(N27="Yes",M27,0)+IF(N28="Yes",M28,0)+IF(N29="Yes",M29,0)+IF(N30="Yes",M30,0)+IF(N31="Yes",M31,0)+IF(N32="Yes",M32,0)+IF(N33="Yes",M33,0)+IF(N34="Yes",M34,0)+IF(N35="Yes",M35,0)+IF(N36="Yes",M36,0)+IF(N37="Yes",M37,0)+IF(N38="Yes",M38,0)+IF(N39="Yes",M39,0)+IF(N40="Yes",M40,0)+IF(N41="Yes",M41,0)+IF(N42="Yes",M42,0)+IF(N43="Yes",M43,0)+IF(N44="Yes",M44,0))/COUNTIF(N22:N44,"Yes"),0)</f>
        <v>0</v>
      </c>
      <c r="N46" s="49"/>
      <c r="O46" s="246"/>
      <c r="P46" s="258"/>
      <c r="Q46" s="49"/>
      <c r="R46" s="49"/>
      <c r="S46" s="49"/>
      <c r="T46" s="445" t="s">
        <v>90</v>
      </c>
      <c r="U46" s="445"/>
      <c r="V46" s="445"/>
      <c r="W46" s="445"/>
      <c r="X46" s="445"/>
      <c r="Y46" s="293">
        <f>IF(Y16="Yes",SUM(AA27:AA44)/(COUNTIF(Y27:Y44,"Yes")),0)</f>
        <v>0</v>
      </c>
      <c r="Z46" s="293">
        <f>IF(Y16="Yes",SUM(AB27:AB44)/(COUNTIF(Y27:Y44,"Yes")),0)</f>
        <v>0</v>
      </c>
      <c r="AA46" s="226"/>
      <c r="AB46" s="226"/>
      <c r="AC46" s="313"/>
    </row>
    <row r="47" spans="2:53" ht="15.95" customHeight="1" x14ac:dyDescent="0.25">
      <c r="B47" s="46"/>
      <c r="C47" s="42"/>
      <c r="D47" s="227"/>
      <c r="E47" s="281"/>
      <c r="F47" s="281"/>
      <c r="G47" s="281"/>
      <c r="H47" s="281"/>
      <c r="I47" s="281"/>
      <c r="J47" s="49"/>
      <c r="K47" s="269"/>
      <c r="L47" s="269"/>
      <c r="M47" s="269"/>
      <c r="N47" s="49"/>
      <c r="O47" s="246"/>
      <c r="P47" s="49"/>
      <c r="Q47" s="49"/>
      <c r="R47" s="49"/>
      <c r="S47" s="49"/>
      <c r="T47" s="281"/>
      <c r="U47" s="281"/>
      <c r="V47" s="281"/>
      <c r="W47" s="281"/>
      <c r="X47" s="281"/>
      <c r="Y47" s="316"/>
      <c r="Z47" s="49"/>
      <c r="AA47" s="316"/>
      <c r="AB47" s="316"/>
      <c r="AC47" s="313"/>
    </row>
    <row r="48" spans="2:53" ht="15.95" customHeight="1" x14ac:dyDescent="0.25">
      <c r="B48" s="46"/>
      <c r="C48" s="42"/>
      <c r="D48" s="227"/>
      <c r="E48" s="49"/>
      <c r="F48" s="38"/>
      <c r="G48" s="49"/>
      <c r="H48" s="49"/>
      <c r="I48" s="49"/>
      <c r="J48" s="49"/>
      <c r="K48" s="269"/>
      <c r="L48" s="269"/>
      <c r="M48" s="269"/>
      <c r="N48" s="49"/>
      <c r="O48" s="246"/>
      <c r="P48" s="144" t="s">
        <v>436</v>
      </c>
      <c r="Q48" s="144"/>
      <c r="R48" s="144" t="s">
        <v>437</v>
      </c>
      <c r="S48" s="49"/>
      <c r="T48" s="49"/>
      <c r="U48" s="49"/>
      <c r="V48" s="49"/>
      <c r="W48" s="49"/>
      <c r="X48" s="49"/>
      <c r="Y48" s="49"/>
      <c r="Z48" s="49"/>
      <c r="AA48" s="49"/>
      <c r="AB48" s="49"/>
      <c r="AC48" s="313"/>
    </row>
    <row r="49" spans="2:29" ht="15.95" customHeight="1" x14ac:dyDescent="0.25">
      <c r="B49" s="46"/>
      <c r="C49" s="42"/>
      <c r="D49" s="227"/>
      <c r="E49" s="49"/>
      <c r="F49" s="38"/>
      <c r="G49" s="49"/>
      <c r="H49" s="49"/>
      <c r="I49" s="445" t="s">
        <v>92</v>
      </c>
      <c r="J49" s="445"/>
      <c r="K49" s="445"/>
      <c r="L49" s="445"/>
      <c r="M49" s="445"/>
      <c r="N49" s="445"/>
      <c r="O49" s="445"/>
      <c r="P49" s="273" t="str">
        <f>IF(K46+Y46&gt;0,K46+Y46,"")</f>
        <v/>
      </c>
      <c r="Q49" s="269"/>
      <c r="R49" s="273" t="str">
        <f>IF(M46+Z46&gt;0,M46+Z46,"")</f>
        <v/>
      </c>
      <c r="S49" s="316"/>
      <c r="T49" s="49"/>
      <c r="U49" s="49"/>
      <c r="V49" s="49"/>
      <c r="W49" s="49"/>
      <c r="X49" s="49"/>
      <c r="Y49" s="49"/>
      <c r="Z49" s="49"/>
      <c r="AA49" s="49"/>
      <c r="AB49" s="49"/>
      <c r="AC49" s="313"/>
    </row>
    <row r="50" spans="2:29" ht="15.95" customHeight="1" thickBot="1" x14ac:dyDescent="0.3">
      <c r="B50" s="46"/>
      <c r="C50" s="42"/>
      <c r="D50" s="317"/>
      <c r="E50" s="247"/>
      <c r="F50" s="247"/>
      <c r="G50" s="247"/>
      <c r="H50" s="247"/>
      <c r="I50" s="247"/>
      <c r="J50" s="247"/>
      <c r="K50" s="247"/>
      <c r="L50" s="247"/>
      <c r="M50" s="247"/>
      <c r="N50" s="247"/>
      <c r="O50" s="247"/>
      <c r="P50" s="247"/>
      <c r="Q50" s="247"/>
      <c r="R50" s="247"/>
      <c r="S50" s="49"/>
      <c r="T50" s="49"/>
      <c r="U50" s="49"/>
      <c r="V50" s="318"/>
      <c r="W50" s="318"/>
      <c r="X50" s="318"/>
      <c r="Y50" s="318"/>
      <c r="Z50" s="318"/>
      <c r="AA50" s="318"/>
      <c r="AB50" s="318"/>
      <c r="AC50" s="319"/>
    </row>
    <row r="51" spans="2:29" ht="11.45" customHeight="1" x14ac:dyDescent="0.2">
      <c r="B51" s="46"/>
      <c r="C51" s="42"/>
      <c r="D51" s="49"/>
      <c r="E51" s="49"/>
      <c r="F51" s="49"/>
      <c r="G51" s="49"/>
      <c r="H51" s="49"/>
      <c r="I51" s="49"/>
      <c r="J51" s="49"/>
      <c r="K51" s="49"/>
      <c r="L51" s="49"/>
      <c r="M51" s="49"/>
      <c r="N51" s="49"/>
      <c r="O51" s="49"/>
      <c r="P51" s="49"/>
      <c r="Q51" s="49"/>
      <c r="R51" s="49"/>
      <c r="S51" s="49"/>
      <c r="T51" s="49"/>
      <c r="U51" s="320"/>
      <c r="V51" s="66"/>
      <c r="W51" s="66"/>
      <c r="X51" s="66"/>
      <c r="Y51" s="66"/>
      <c r="Z51" s="66"/>
      <c r="AA51" s="66"/>
      <c r="AB51" s="66"/>
      <c r="AC51" s="66"/>
    </row>
    <row r="52" spans="2:29" ht="12.6" customHeight="1" x14ac:dyDescent="0.2">
      <c r="B52" s="46"/>
      <c r="C52" s="42"/>
      <c r="D52" s="49"/>
      <c r="E52" s="48" t="s">
        <v>12</v>
      </c>
      <c r="F52" s="374" t="s">
        <v>444</v>
      </c>
      <c r="G52" s="374"/>
      <c r="H52" s="374"/>
      <c r="I52" s="374"/>
      <c r="J52" s="374"/>
      <c r="K52" s="144" t="s">
        <v>2</v>
      </c>
      <c r="L52" s="144"/>
      <c r="M52" s="144" t="s">
        <v>2</v>
      </c>
      <c r="N52" s="144" t="s">
        <v>3</v>
      </c>
      <c r="O52" s="49"/>
      <c r="P52" s="49"/>
      <c r="Q52" s="49"/>
      <c r="R52" s="49"/>
      <c r="S52" s="49"/>
      <c r="T52" s="49"/>
      <c r="U52" s="320"/>
      <c r="V52" s="66"/>
      <c r="W52" s="66"/>
      <c r="X52" s="66"/>
      <c r="Y52" s="66"/>
      <c r="Z52" s="66"/>
      <c r="AA52" s="66"/>
      <c r="AB52" s="66"/>
      <c r="AC52" s="66"/>
    </row>
    <row r="53" spans="2:29" ht="12.95" customHeight="1" x14ac:dyDescent="0.2">
      <c r="B53" s="46"/>
      <c r="C53" s="42"/>
      <c r="D53" s="49"/>
      <c r="E53" s="49"/>
      <c r="F53" s="49"/>
      <c r="G53" s="49"/>
      <c r="H53" s="49"/>
      <c r="I53" s="49"/>
      <c r="J53" s="49"/>
      <c r="K53" s="144" t="s">
        <v>436</v>
      </c>
      <c r="L53" s="144"/>
      <c r="M53" s="144" t="s">
        <v>437</v>
      </c>
      <c r="N53" s="49"/>
      <c r="O53" s="49"/>
      <c r="P53" s="49"/>
      <c r="Q53" s="49"/>
      <c r="R53" s="49"/>
      <c r="S53" s="49"/>
      <c r="T53" s="49"/>
      <c r="U53" s="320"/>
      <c r="V53" s="66"/>
      <c r="W53" s="66"/>
      <c r="X53" s="66"/>
      <c r="Y53" s="66"/>
      <c r="Z53" s="66"/>
      <c r="AA53" s="66"/>
      <c r="AB53" s="66"/>
      <c r="AC53" s="66"/>
    </row>
    <row r="54" spans="2:29" ht="12.95" customHeight="1" x14ac:dyDescent="0.2">
      <c r="B54" s="46"/>
      <c r="C54" s="42"/>
      <c r="D54" s="49"/>
      <c r="E54" s="432" t="s">
        <v>32</v>
      </c>
      <c r="F54" s="432"/>
      <c r="G54" s="432"/>
      <c r="H54" s="432"/>
      <c r="I54" s="432"/>
      <c r="J54" s="49"/>
      <c r="K54" s="321" t="e">
        <f>(1/(((P49-(-IF(K62&gt;0,K62,8))))/$K$10))</f>
        <v>#VALUE!</v>
      </c>
      <c r="L54" s="322"/>
      <c r="M54" s="321" t="e">
        <f>(1/(((R49-(-IF(M62&gt;0,M62,930))))/$K$11))</f>
        <v>#VALUE!</v>
      </c>
      <c r="N54" s="240" t="s">
        <v>17</v>
      </c>
      <c r="O54" s="49"/>
      <c r="P54" s="49"/>
      <c r="Q54" s="49"/>
      <c r="R54" s="49"/>
      <c r="S54" s="49"/>
      <c r="T54" s="49"/>
      <c r="U54" s="320"/>
      <c r="V54" s="66"/>
      <c r="W54" s="66"/>
      <c r="X54" s="66"/>
      <c r="Y54" s="66"/>
      <c r="Z54" s="66"/>
      <c r="AA54" s="66"/>
      <c r="AB54" s="66"/>
      <c r="AC54" s="66"/>
    </row>
    <row r="55" spans="2:29" ht="14.45" customHeight="1" x14ac:dyDescent="0.2">
      <c r="B55" s="46"/>
      <c r="C55" s="42"/>
      <c r="D55" s="49"/>
      <c r="E55" s="432" t="s">
        <v>489</v>
      </c>
      <c r="F55" s="432"/>
      <c r="G55" s="432"/>
      <c r="H55" s="432"/>
      <c r="I55" s="432"/>
      <c r="J55" s="49"/>
      <c r="K55" s="321" t="e">
        <f>(K10/($P$49-(IF(K16="Yes",IF('Stage 2'!$K$14="550-575",'Data Tables'!AK39,IF('Stage 2'!$K$14="575-600",'Data Tables'!AK40,IF('Stage 2'!$K$14="600-625",'Data Tables'!AK41,IF('Stage 2'!$K$14="625-650",'Data Tables'!AK42,IF('Stage 2'!$K$14="650-675",'Data Tables'!AK43,IF('Stage 2'!$K$14="675-700",'Data Tables'!AK44,IF('Stage 2'!$K$14="700-750",'Data Tables'!AK45,IF('Stage 2'!$K$14="750-800",'Data Tables'!AK46,IF('Stage 2'!$K$14="800-850",'Data Tables'!AK47,'Data Tables'!AK48))))))))),IF($Y$23="550-575",'Data Tables'!AK39,IF($Y$23="575-600",'Data Tables'!AK40,IF($Y$23="600-625",'Data Tables'!AK41,IF($Y$23="625-650",'Data Tables'!AK42,IF($Y$23="650-675",'Data Tables'!AK43,IF($Y$23="675-700",'Data Tables'!AK44,IF($Y$23="700-750",'Data Tables'!AK45,IF($Y$23="750-800",'Data Tables'!AK46,IF($Y$23="800-850",'Data Tables'!AK47,'Data Tables'!AK48)))))))))))))</f>
        <v>#VALUE!</v>
      </c>
      <c r="L55" s="322"/>
      <c r="M55" s="321" t="e">
        <f>(K11/($R$49-(IF(K16="Yes",IF('Stage 2'!$K$14="550-575",'Data Tables'!AL39,IF('Stage 2'!$K$14="575-600",'Data Tables'!AL40,IF('Stage 2'!$K$14="600-625",'Data Tables'!AL41,IF('Stage 2'!$K$14="625-650",'Data Tables'!AL42,IF('Stage 2'!$K$14="650-675",'Data Tables'!AL43,IF('Stage 2'!$K$14="675-700",'Data Tables'!AL44,IF('Stage 2'!$K$14="700-750",'Data Tables'!AL45,IF('Stage 2'!$K$14="750-800",'Data Tables'!AL46,IF('Stage 2'!$K$14="800-850",'Data Tables'!AL47,'Data Tables'!AL48))))))))),IF($Y$23="550-575",'Data Tables'!AL39,IF($Y$23="575-600",'Data Tables'!AL40,IF($Y$23="600-625",'Data Tables'!AL41,IF($Y$23="625-650",'Data Tables'!AL42,IF($Y$23="650-675",'Data Tables'!AL43,IF($Y$23="675-700",'Data Tables'!AL44,IF($Y$23="700-750",'Data Tables'!AL45,IF($Y$23="750-800",'Data Tables'!AL46,IF($Y$23="800-850",'Data Tables'!AL47,'Data Tables'!AL48)))))))))))))</f>
        <v>#VALUE!</v>
      </c>
      <c r="N55" s="240" t="s">
        <v>17</v>
      </c>
      <c r="O55" s="49"/>
      <c r="P55" s="49"/>
      <c r="Q55" s="49"/>
      <c r="R55" s="49"/>
      <c r="S55" s="49"/>
      <c r="T55" s="49"/>
      <c r="U55" s="320"/>
      <c r="V55" s="66"/>
      <c r="W55" s="66"/>
      <c r="X55" s="66"/>
      <c r="Y55" s="66"/>
      <c r="Z55" s="66"/>
      <c r="AA55" s="66"/>
      <c r="AB55" s="66"/>
      <c r="AC55" s="66"/>
    </row>
    <row r="56" spans="2:29" ht="14.45" customHeight="1" x14ac:dyDescent="0.2">
      <c r="B56" s="46"/>
      <c r="C56" s="42"/>
      <c r="D56" s="49"/>
      <c r="E56" s="432" t="s">
        <v>400</v>
      </c>
      <c r="F56" s="432"/>
      <c r="G56" s="432"/>
      <c r="H56" s="432"/>
      <c r="I56" s="432"/>
      <c r="J56" s="144"/>
      <c r="K56" s="321" t="e">
        <f>(1/(($P$49-'Data Tables'!O7)/$K$10))</f>
        <v>#VALUE!</v>
      </c>
      <c r="L56" s="322"/>
      <c r="M56" s="321" t="e">
        <f>(1/(($R$49-'Data Tables'!P7)/$K$11))</f>
        <v>#VALUE!</v>
      </c>
      <c r="N56" s="240" t="s">
        <v>17</v>
      </c>
      <c r="O56" s="240"/>
      <c r="P56" s="264"/>
      <c r="Q56" s="264"/>
      <c r="R56" s="240"/>
      <c r="S56" s="240"/>
      <c r="T56" s="49"/>
      <c r="U56" s="320"/>
      <c r="V56" s="66"/>
      <c r="W56" s="66"/>
      <c r="X56" s="66"/>
      <c r="Y56" s="66"/>
      <c r="Z56" s="66"/>
      <c r="AA56" s="66"/>
      <c r="AB56" s="66"/>
      <c r="AC56" s="66"/>
    </row>
    <row r="57" spans="2:29" ht="14.45" customHeight="1" x14ac:dyDescent="0.2">
      <c r="B57" s="46"/>
      <c r="C57" s="42"/>
      <c r="D57" s="49"/>
      <c r="E57" s="432" t="s">
        <v>34</v>
      </c>
      <c r="F57" s="432"/>
      <c r="G57" s="432"/>
      <c r="H57" s="432"/>
      <c r="I57" s="432"/>
      <c r="J57" s="144"/>
      <c r="K57" s="321" t="e">
        <f>(1/(($P$49-'Data Tables'!O5)/$K$10))</f>
        <v>#VALUE!</v>
      </c>
      <c r="L57" s="322"/>
      <c r="M57" s="321" t="e">
        <f>(1/(($R$49-'Data Tables'!P5)/$K$11))</f>
        <v>#VALUE!</v>
      </c>
      <c r="N57" s="240" t="s">
        <v>17</v>
      </c>
      <c r="O57" s="240"/>
      <c r="P57" s="264"/>
      <c r="Q57" s="264"/>
      <c r="R57" s="240"/>
      <c r="S57" s="240"/>
      <c r="T57" s="49"/>
      <c r="U57" s="320"/>
      <c r="V57" s="66"/>
      <c r="W57" s="66"/>
      <c r="X57" s="66"/>
      <c r="Y57" s="66"/>
      <c r="Z57" s="66"/>
      <c r="AA57" s="66"/>
      <c r="AB57" s="66"/>
      <c r="AC57" s="66"/>
    </row>
    <row r="58" spans="2:29" ht="14.45" customHeight="1" x14ac:dyDescent="0.2">
      <c r="B58" s="46"/>
      <c r="C58" s="42"/>
      <c r="D58" s="49"/>
      <c r="E58" s="432" t="s">
        <v>245</v>
      </c>
      <c r="F58" s="432"/>
      <c r="G58" s="432"/>
      <c r="H58" s="432"/>
      <c r="I58" s="432"/>
      <c r="J58" s="144"/>
      <c r="K58" s="321" t="e">
        <f>(1/(($P$49-'Data Tables'!O6)/$K$10))</f>
        <v>#VALUE!</v>
      </c>
      <c r="L58" s="322"/>
      <c r="M58" s="321" t="e">
        <f>(1/(($R$49-'Data Tables'!P6)/$K$11))</f>
        <v>#VALUE!</v>
      </c>
      <c r="N58" s="240" t="s">
        <v>17</v>
      </c>
      <c r="O58" s="240"/>
      <c r="P58" s="264"/>
      <c r="Q58" s="264"/>
      <c r="R58" s="240"/>
      <c r="S58" s="240"/>
      <c r="T58" s="49"/>
      <c r="U58" s="320"/>
      <c r="V58" s="66"/>
      <c r="W58" s="66"/>
      <c r="X58" s="66"/>
      <c r="Y58" s="66"/>
      <c r="Z58" s="66"/>
      <c r="AA58" s="66"/>
      <c r="AB58" s="66"/>
      <c r="AC58" s="66"/>
    </row>
    <row r="59" spans="2:29" ht="14.45" customHeight="1" x14ac:dyDescent="0.2">
      <c r="B59" s="46"/>
      <c r="C59" s="42"/>
      <c r="D59" s="49"/>
      <c r="E59" s="432" t="s">
        <v>439</v>
      </c>
      <c r="F59" s="432"/>
      <c r="G59" s="432"/>
      <c r="H59" s="432"/>
      <c r="I59" s="432"/>
      <c r="J59" s="144"/>
      <c r="K59" s="321" t="e">
        <f>(1/(($P$49-'Data Tables'!O4)/$K$10))</f>
        <v>#VALUE!</v>
      </c>
      <c r="L59" s="322"/>
      <c r="M59" s="321" t="e">
        <f>(1/(($R$49-'Data Tables'!P4)/$K$11))</f>
        <v>#VALUE!</v>
      </c>
      <c r="N59" s="240" t="s">
        <v>17</v>
      </c>
      <c r="O59" s="240"/>
      <c r="P59" s="264"/>
      <c r="Q59" s="264"/>
      <c r="R59" s="240"/>
      <c r="S59" s="240"/>
      <c r="T59" s="49"/>
      <c r="U59" s="320"/>
      <c r="V59" s="66"/>
      <c r="W59" s="66"/>
      <c r="X59" s="66"/>
      <c r="Y59" s="66"/>
      <c r="Z59" s="66"/>
      <c r="AA59" s="66"/>
      <c r="AB59" s="66"/>
      <c r="AC59" s="66"/>
    </row>
    <row r="60" spans="2:29" ht="7.5" customHeight="1" x14ac:dyDescent="0.2">
      <c r="B60" s="46"/>
      <c r="C60" s="42"/>
      <c r="D60" s="49"/>
      <c r="E60" s="49"/>
      <c r="F60" s="49"/>
      <c r="G60" s="49"/>
      <c r="H60" s="49"/>
      <c r="I60" s="49"/>
      <c r="J60" s="49"/>
      <c r="K60" s="49"/>
      <c r="L60" s="49"/>
      <c r="M60" s="49"/>
      <c r="N60" s="49"/>
      <c r="O60" s="49"/>
      <c r="P60" s="49"/>
      <c r="Q60" s="49"/>
      <c r="R60" s="49"/>
      <c r="S60" s="49"/>
      <c r="T60" s="49"/>
      <c r="U60" s="320"/>
      <c r="V60" s="66"/>
      <c r="W60" s="66"/>
      <c r="X60" s="66"/>
      <c r="Y60" s="66"/>
      <c r="Z60" s="66"/>
      <c r="AA60" s="66"/>
      <c r="AB60" s="66"/>
      <c r="AC60" s="66"/>
    </row>
    <row r="61" spans="2:29" ht="15.95" customHeight="1" x14ac:dyDescent="0.2">
      <c r="B61" s="46"/>
      <c r="C61" s="42"/>
      <c r="D61" s="49"/>
      <c r="E61" s="49"/>
      <c r="F61" s="374" t="s">
        <v>248</v>
      </c>
      <c r="G61" s="374"/>
      <c r="H61" s="374"/>
      <c r="I61" s="374"/>
      <c r="J61" s="374"/>
      <c r="K61" s="226"/>
      <c r="L61" s="226"/>
      <c r="M61" s="226"/>
      <c r="N61" s="49"/>
      <c r="O61" s="49"/>
      <c r="P61" s="49"/>
      <c r="Q61" s="49"/>
      <c r="R61" s="49"/>
      <c r="S61" s="49"/>
      <c r="T61" s="49"/>
      <c r="U61" s="320"/>
      <c r="V61" s="66"/>
      <c r="W61" s="66"/>
      <c r="X61" s="66"/>
      <c r="Y61" s="66"/>
      <c r="Z61" s="66"/>
      <c r="AA61" s="66"/>
      <c r="AB61" s="66"/>
      <c r="AC61" s="66"/>
    </row>
    <row r="62" spans="2:29" ht="18" customHeight="1" x14ac:dyDescent="0.25">
      <c r="B62" s="46"/>
      <c r="C62" s="42"/>
      <c r="D62" s="49"/>
      <c r="E62" s="49"/>
      <c r="F62" s="49"/>
      <c r="G62" s="374" t="s">
        <v>236</v>
      </c>
      <c r="H62" s="374"/>
      <c r="I62" s="374"/>
      <c r="J62" s="374"/>
      <c r="K62" s="238"/>
      <c r="L62" s="239"/>
      <c r="M62" s="238"/>
      <c r="N62" s="240" t="s">
        <v>81</v>
      </c>
      <c r="O62" s="227"/>
      <c r="P62" s="49"/>
      <c r="Q62" s="49"/>
      <c r="R62" s="49"/>
      <c r="S62" s="49"/>
      <c r="T62" s="49"/>
      <c r="U62" s="320"/>
      <c r="V62" s="66"/>
      <c r="W62" s="66"/>
      <c r="X62" s="66"/>
      <c r="Y62" s="66"/>
      <c r="Z62" s="66"/>
      <c r="AA62" s="66"/>
      <c r="AB62" s="66"/>
      <c r="AC62" s="66"/>
    </row>
    <row r="63" spans="2:29" ht="60" customHeight="1" x14ac:dyDescent="0.2">
      <c r="B63" s="46"/>
      <c r="C63" s="42"/>
      <c r="D63" s="49"/>
      <c r="E63" s="428" t="s">
        <v>438</v>
      </c>
      <c r="F63" s="428"/>
      <c r="G63" s="428"/>
      <c r="H63" s="428"/>
      <c r="I63" s="428"/>
      <c r="J63" s="428"/>
      <c r="K63" s="428"/>
      <c r="L63" s="428"/>
      <c r="M63" s="428"/>
      <c r="N63" s="428"/>
      <c r="O63" s="428"/>
      <c r="P63" s="428"/>
      <c r="Q63" s="428"/>
      <c r="R63" s="428"/>
      <c r="S63" s="428"/>
      <c r="T63" s="428"/>
      <c r="U63" s="320"/>
      <c r="V63" s="66"/>
      <c r="W63" s="66"/>
      <c r="X63" s="66"/>
      <c r="Y63" s="66"/>
      <c r="Z63" s="66"/>
      <c r="AA63" s="66"/>
      <c r="AB63" s="66"/>
      <c r="AC63" s="66"/>
    </row>
    <row r="64" spans="2:29" ht="14.45" customHeight="1" x14ac:dyDescent="0.2">
      <c r="B64" s="46"/>
      <c r="C64" s="42"/>
      <c r="D64" s="49"/>
      <c r="E64" s="49"/>
      <c r="F64" s="49"/>
      <c r="G64" s="49"/>
      <c r="H64" s="49"/>
      <c r="I64" s="49"/>
      <c r="J64" s="49"/>
      <c r="K64" s="226"/>
      <c r="L64" s="226"/>
      <c r="M64" s="226"/>
      <c r="N64" s="49"/>
      <c r="O64" s="49"/>
      <c r="P64" s="226"/>
      <c r="Q64" s="226"/>
      <c r="R64" s="226"/>
      <c r="S64" s="49"/>
      <c r="T64" s="49"/>
      <c r="U64" s="320"/>
      <c r="V64" s="66"/>
      <c r="W64" s="66"/>
      <c r="X64" s="66"/>
      <c r="Y64" s="66"/>
      <c r="Z64" s="66"/>
      <c r="AA64" s="66"/>
      <c r="AB64" s="66"/>
      <c r="AC64" s="66"/>
    </row>
    <row r="65" spans="2:29" ht="9.9499999999999993" customHeight="1" x14ac:dyDescent="0.2">
      <c r="B65" s="46"/>
      <c r="C65" s="42"/>
      <c r="D65" s="49"/>
      <c r="E65" s="48" t="s">
        <v>14</v>
      </c>
      <c r="F65" s="49" t="s">
        <v>31</v>
      </c>
      <c r="G65" s="49"/>
      <c r="H65" s="49"/>
      <c r="I65" s="49"/>
      <c r="J65" s="49"/>
      <c r="K65" s="144" t="s">
        <v>2</v>
      </c>
      <c r="L65" s="144"/>
      <c r="M65" s="144" t="s">
        <v>2</v>
      </c>
      <c r="N65" s="144" t="s">
        <v>3</v>
      </c>
      <c r="O65" s="144"/>
      <c r="P65" s="144" t="s">
        <v>2</v>
      </c>
      <c r="Q65" s="144"/>
      <c r="R65" s="144" t="s">
        <v>3</v>
      </c>
      <c r="S65" s="144"/>
      <c r="T65" s="49"/>
      <c r="U65" s="320"/>
      <c r="V65" s="66"/>
      <c r="W65" s="66"/>
      <c r="X65" s="66"/>
      <c r="Y65" s="66"/>
      <c r="Z65" s="66"/>
      <c r="AA65" s="66"/>
      <c r="AB65" s="66"/>
      <c r="AC65" s="66"/>
    </row>
    <row r="66" spans="2:29" ht="13.5" customHeight="1" x14ac:dyDescent="0.2">
      <c r="B66" s="46"/>
      <c r="C66" s="42"/>
      <c r="D66" s="49"/>
      <c r="E66" s="48"/>
      <c r="F66" s="49"/>
      <c r="G66" s="49"/>
      <c r="H66" s="49"/>
      <c r="I66" s="49"/>
      <c r="J66" s="49"/>
      <c r="K66" s="144" t="s">
        <v>436</v>
      </c>
      <c r="L66" s="144"/>
      <c r="M66" s="144" t="s">
        <v>437</v>
      </c>
      <c r="N66" s="49"/>
      <c r="O66" s="49"/>
      <c r="P66" s="144" t="s">
        <v>436</v>
      </c>
      <c r="Q66" s="144"/>
      <c r="R66" s="144" t="s">
        <v>437</v>
      </c>
      <c r="S66" s="144"/>
      <c r="T66" s="49"/>
      <c r="U66" s="320"/>
      <c r="V66" s="66"/>
      <c r="W66" s="323"/>
      <c r="X66" s="66"/>
      <c r="Y66" s="66"/>
      <c r="Z66" s="66"/>
      <c r="AA66" s="66"/>
      <c r="AB66" s="66"/>
      <c r="AC66" s="66"/>
    </row>
    <row r="67" spans="2:29" ht="18.95" customHeight="1" x14ac:dyDescent="0.2">
      <c r="B67" s="46"/>
      <c r="C67" s="42"/>
      <c r="D67" s="49"/>
      <c r="E67" s="432" t="s">
        <v>32</v>
      </c>
      <c r="F67" s="432"/>
      <c r="G67" s="432"/>
      <c r="H67" s="432"/>
      <c r="I67" s="432"/>
      <c r="J67" s="144"/>
      <c r="K67" s="324"/>
      <c r="L67" s="277"/>
      <c r="M67" s="324"/>
      <c r="N67" s="240" t="s">
        <v>35</v>
      </c>
      <c r="O67" s="240"/>
      <c r="P67" s="321" t="str">
        <f>IF(K67&gt;0,(1/(($P$49-(-IF(K62&gt;0,K62,8)))/K67)),"0")</f>
        <v>0</v>
      </c>
      <c r="Q67" s="322"/>
      <c r="R67" s="321" t="str">
        <f>IF(M67&gt;0,(1/(($P$49-(-IF(M62&gt;0,M62,930)))/M67)),"0")</f>
        <v>0</v>
      </c>
      <c r="S67" s="240" t="s">
        <v>17</v>
      </c>
      <c r="T67" s="49"/>
      <c r="U67" s="320"/>
      <c r="V67" s="66"/>
      <c r="W67" s="323"/>
      <c r="X67" s="66"/>
      <c r="Y67" s="66"/>
      <c r="Z67" s="66"/>
      <c r="AA67" s="66"/>
      <c r="AB67" s="66"/>
      <c r="AC67" s="66"/>
    </row>
    <row r="68" spans="2:29" ht="22.5" customHeight="1" x14ac:dyDescent="0.2">
      <c r="B68" s="46"/>
      <c r="C68" s="42"/>
      <c r="D68" s="49"/>
      <c r="E68" s="432" t="s">
        <v>489</v>
      </c>
      <c r="F68" s="432"/>
      <c r="G68" s="432"/>
      <c r="H68" s="432"/>
      <c r="I68" s="432"/>
      <c r="J68" s="144"/>
      <c r="K68" s="324"/>
      <c r="L68" s="277"/>
      <c r="M68" s="324"/>
      <c r="N68" s="240" t="s">
        <v>35</v>
      </c>
      <c r="O68" s="240"/>
      <c r="P68" s="321" t="str">
        <f>IF(K68&gt;0,(1/(($P$49-((IF(K16="Yes",IF('Stage 2'!$K$14="550-575",'Data Tables'!AK39,IF('Stage 2'!$K$14="575-600",'Data Tables'!AK40,IF('Stage 2'!$K$14="600-625",'Data Tables'!AK41,IF('Stage 2'!$K$14="625-650",'Data Tables'!AK42,IF('Stage 2'!$K$14="650-675",'Data Tables'!AK43,IF('Stage 2'!$K$14="675-700",'Data Tables'!AK44,IF('Stage 2'!$K$14="700-750",'Data Tables'!AK45,IF('Stage 2'!$K$14="750-800",'Data Tables'!AK46,IF('Stage 2'!$K$14="800-850",'Data Tables'!AK47,'Data Tables'!AK48))))))))),IF($Y$23="550-575",'Data Tables'!AK39,IF($Y$23="575-600",'Data Tables'!AK40,IF($Y$23="600-625",'Data Tables'!AK41,IF($Y$23="625-650",'Data Tables'!AK42,IF($Y$23="650-675",'Data Tables'!AK43,IF($Y$23="675-700",'Data Tables'!AK44,IF($Y$23="700-750",'Data Tables'!AK45,IF($Y$23="750-800",'Data Tables'!AK46,IF($Y$23="800-850",'Data Tables'!AK47,'Data Tables'!AK48)))))))))))))/K68)),"0")</f>
        <v>0</v>
      </c>
      <c r="Q68" s="322"/>
      <c r="R68" s="321" t="str">
        <f>IF(M68&gt;0,(M68/(R49-(IF(K16="Yes",IF('Stage 2'!$K$14="550-575",'Data Tables'!AL39,IF('Stage 2'!$K$14="575-600",'Data Tables'!AL40,IF('Stage 2'!$K$14="600-625",'Data Tables'!AL41,IF('Stage 2'!$K$14="625-650",'Data Tables'!AL42,IF('Stage 2'!$K$14="650-675",'Data Tables'!AL43,IF('Stage 2'!$K$14="675-700",'Data Tables'!AL44,IF('Stage 2'!$K$14="700-750",'Data Tables'!AL45,IF('Stage 2'!$K$14="750-800",'Data Tables'!AL46,IF('Stage 2'!$K$14="800-850",'Data Tables'!AL47,'Data Tables'!AL48))))))))),IF($Y$23="550-575",'Data Tables'!AL39,IF($Y$23="575-600",'Data Tables'!AL40,IF($Y$23="600-625",'Data Tables'!AL41,IF($Y$23="625-650",'Data Tables'!AL42,IF($Y$23="650-675",'Data Tables'!AL43,IF($Y$23="675-700",'Data Tables'!AL44,IF($Y$23="700-750",'Data Tables'!AL45,IF($Y$23="750-800",'Data Tables'!AL46,IF($Y$23="800-850",'Data Tables'!AL47,'Data Tables'!AL48))))))))))))),"0")</f>
        <v>0</v>
      </c>
      <c r="S68" s="240" t="s">
        <v>17</v>
      </c>
      <c r="T68" s="49"/>
      <c r="U68" s="320"/>
      <c r="V68" s="66"/>
      <c r="W68" s="66"/>
      <c r="X68" s="66"/>
      <c r="Y68" s="66"/>
      <c r="Z68" s="66"/>
      <c r="AA68" s="66"/>
      <c r="AB68" s="66"/>
      <c r="AC68" s="66"/>
    </row>
    <row r="69" spans="2:29" ht="13.5" customHeight="1" x14ac:dyDescent="0.2">
      <c r="B69" s="46"/>
      <c r="C69" s="42"/>
      <c r="D69" s="49"/>
      <c r="E69" s="432" t="s">
        <v>400</v>
      </c>
      <c r="F69" s="432"/>
      <c r="G69" s="432"/>
      <c r="H69" s="432"/>
      <c r="I69" s="432"/>
      <c r="J69" s="144"/>
      <c r="K69" s="324"/>
      <c r="L69" s="277"/>
      <c r="M69" s="324"/>
      <c r="N69" s="240" t="s">
        <v>35</v>
      </c>
      <c r="O69" s="240"/>
      <c r="P69" s="321" t="str">
        <f>IF(K69&gt;0,(1/(($P$49-'Data Tables'!O7)/K69)),"0")</f>
        <v>0</v>
      </c>
      <c r="Q69" s="322"/>
      <c r="R69" s="321" t="str">
        <f>IF(M69&gt;0,(1/(($R$49-'Data Tables'!P7)/M69)),"0")</f>
        <v>0</v>
      </c>
      <c r="S69" s="240" t="s">
        <v>17</v>
      </c>
      <c r="T69" s="49"/>
      <c r="U69" s="320"/>
      <c r="V69" s="66"/>
      <c r="W69" s="323"/>
      <c r="X69" s="66"/>
      <c r="Y69" s="66"/>
      <c r="Z69" s="66"/>
      <c r="AA69" s="66"/>
      <c r="AB69" s="66"/>
      <c r="AC69" s="66"/>
    </row>
    <row r="70" spans="2:29" ht="16.5" customHeight="1" x14ac:dyDescent="0.2">
      <c r="B70" s="46"/>
      <c r="C70" s="42"/>
      <c r="D70" s="49"/>
      <c r="E70" s="432" t="s">
        <v>34</v>
      </c>
      <c r="F70" s="432"/>
      <c r="G70" s="432"/>
      <c r="H70" s="432"/>
      <c r="I70" s="432"/>
      <c r="J70" s="144"/>
      <c r="K70" s="324"/>
      <c r="L70" s="277"/>
      <c r="M70" s="324"/>
      <c r="N70" s="240" t="s">
        <v>35</v>
      </c>
      <c r="O70" s="240"/>
      <c r="P70" s="321" t="str">
        <f>IF(K70&gt;0,(1/(($P$49-'Data Tables'!O5)/K70)),"0")</f>
        <v>0</v>
      </c>
      <c r="Q70" s="322"/>
      <c r="R70" s="321" t="str">
        <f>IF(M70&gt;0,(1/(($P$49-'Data Tables'!P5)/M70)),"0")</f>
        <v>0</v>
      </c>
      <c r="S70" s="240" t="s">
        <v>17</v>
      </c>
      <c r="T70" s="49"/>
      <c r="U70" s="320"/>
      <c r="V70" s="66"/>
      <c r="W70" s="66"/>
      <c r="X70" s="66"/>
      <c r="Y70" s="66"/>
      <c r="Z70" s="66"/>
      <c r="AA70" s="66"/>
      <c r="AB70" s="66"/>
      <c r="AC70" s="66"/>
    </row>
    <row r="71" spans="2:29" ht="16.5" customHeight="1" x14ac:dyDescent="0.2">
      <c r="B71" s="46"/>
      <c r="C71" s="42"/>
      <c r="D71" s="49"/>
      <c r="E71" s="432" t="s">
        <v>245</v>
      </c>
      <c r="F71" s="432"/>
      <c r="G71" s="432"/>
      <c r="H71" s="432"/>
      <c r="I71" s="432"/>
      <c r="J71" s="144"/>
      <c r="K71" s="324"/>
      <c r="L71" s="277"/>
      <c r="M71" s="324"/>
      <c r="N71" s="240" t="s">
        <v>35</v>
      </c>
      <c r="O71" s="240"/>
      <c r="P71" s="321" t="str">
        <f>IF(K71&gt;0,(1/(($P$49-'Data Tables'!O6)/K71)),"0")</f>
        <v>0</v>
      </c>
      <c r="Q71" s="322"/>
      <c r="R71" s="321" t="str">
        <f>IF(M71&gt;0,(1/(($R$49-'Data Tables'!P6)/M71)),"0")</f>
        <v>0</v>
      </c>
      <c r="S71" s="240" t="s">
        <v>17</v>
      </c>
      <c r="T71" s="49"/>
      <c r="U71" s="320"/>
      <c r="V71" s="66"/>
      <c r="W71" s="66"/>
      <c r="X71" s="66"/>
      <c r="Y71" s="66"/>
      <c r="Z71" s="66"/>
      <c r="AA71" s="66"/>
      <c r="AB71" s="66"/>
      <c r="AC71" s="66"/>
    </row>
    <row r="72" spans="2:29" ht="16.5" customHeight="1" x14ac:dyDescent="0.2">
      <c r="B72" s="46"/>
      <c r="C72" s="42"/>
      <c r="D72" s="49"/>
      <c r="E72" s="432" t="s">
        <v>439</v>
      </c>
      <c r="F72" s="432"/>
      <c r="G72" s="432"/>
      <c r="H72" s="432"/>
      <c r="I72" s="432"/>
      <c r="J72" s="144"/>
      <c r="K72" s="324"/>
      <c r="L72" s="277"/>
      <c r="M72" s="324"/>
      <c r="N72" s="240" t="s">
        <v>35</v>
      </c>
      <c r="O72" s="240"/>
      <c r="P72" s="321" t="str">
        <f>IF(K72&gt;0,(1/(($P$49-'Data Tables'!O4)/K72)),"0")</f>
        <v>0</v>
      </c>
      <c r="Q72" s="322"/>
      <c r="R72" s="321" t="str">
        <f>IF(M72&gt;0,(1/(($R$49-'Data Tables'!P4)/M72)),"0")</f>
        <v>0</v>
      </c>
      <c r="S72" s="240" t="s">
        <v>17</v>
      </c>
      <c r="T72" s="49"/>
      <c r="U72" s="320"/>
      <c r="V72" s="66"/>
      <c r="W72" s="66"/>
      <c r="X72" s="66"/>
      <c r="Y72" s="66"/>
      <c r="Z72" s="66"/>
      <c r="AA72" s="66"/>
      <c r="AB72" s="66"/>
      <c r="AC72" s="66"/>
    </row>
    <row r="73" spans="2:29" ht="21.95" customHeight="1" x14ac:dyDescent="0.2">
      <c r="B73" s="46"/>
      <c r="C73" s="42"/>
      <c r="D73" s="49"/>
      <c r="E73" s="49"/>
      <c r="F73" s="49"/>
      <c r="G73" s="49"/>
      <c r="H73" s="49"/>
      <c r="I73" s="49"/>
      <c r="J73" s="49"/>
      <c r="K73" s="49"/>
      <c r="L73" s="49"/>
      <c r="M73" s="49"/>
      <c r="N73" s="240"/>
      <c r="O73" s="240"/>
      <c r="P73" s="325"/>
      <c r="Q73" s="325"/>
      <c r="R73" s="240"/>
      <c r="S73" s="240"/>
      <c r="T73" s="49"/>
      <c r="U73" s="320"/>
      <c r="V73" s="66"/>
      <c r="W73" s="66"/>
      <c r="X73" s="66"/>
      <c r="Y73" s="66"/>
      <c r="Z73" s="66"/>
      <c r="AA73" s="66"/>
      <c r="AB73" s="66"/>
      <c r="AC73" s="66"/>
    </row>
    <row r="74" spans="2:29" ht="15.6" customHeight="1" x14ac:dyDescent="0.2">
      <c r="B74" s="46"/>
      <c r="C74" s="42"/>
      <c r="D74" s="49"/>
      <c r="E74" s="49"/>
      <c r="F74" s="382" t="s">
        <v>64</v>
      </c>
      <c r="G74" s="382"/>
      <c r="H74" s="382"/>
      <c r="I74" s="382"/>
      <c r="J74" s="49"/>
      <c r="K74" s="273">
        <f>K10-(SUM(K67:K72))</f>
        <v>21.606502462768265</v>
      </c>
      <c r="L74" s="269"/>
      <c r="M74" s="273">
        <f>K11-(SUM(M67:M72))</f>
        <v>910.87928788290185</v>
      </c>
      <c r="N74" s="246" t="s">
        <v>15</v>
      </c>
      <c r="O74" s="246"/>
      <c r="P74" s="290">
        <f>SUM(P67:P72)</f>
        <v>0</v>
      </c>
      <c r="Q74" s="326"/>
      <c r="R74" s="290">
        <f>SUM(R67:R72)</f>
        <v>0</v>
      </c>
      <c r="S74" s="246" t="s">
        <v>17</v>
      </c>
      <c r="T74" s="49"/>
      <c r="U74" s="320"/>
      <c r="V74" s="66"/>
      <c r="W74" s="66"/>
      <c r="X74" s="66"/>
      <c r="Y74" s="66"/>
      <c r="Z74" s="66"/>
      <c r="AA74" s="66"/>
      <c r="AB74" s="66"/>
      <c r="AC74" s="66"/>
    </row>
    <row r="75" spans="2:29" ht="18" customHeight="1" x14ac:dyDescent="0.2">
      <c r="B75" s="46"/>
      <c r="C75" s="42"/>
      <c r="D75" s="49"/>
      <c r="E75" s="49"/>
      <c r="F75" s="49"/>
      <c r="G75" s="49"/>
      <c r="H75" s="49"/>
      <c r="I75" s="49"/>
      <c r="J75" s="49"/>
      <c r="K75" s="49"/>
      <c r="L75" s="49"/>
      <c r="M75" s="49"/>
      <c r="N75" s="49"/>
      <c r="O75" s="49"/>
      <c r="P75" s="49"/>
      <c r="Q75" s="49"/>
      <c r="R75" s="49"/>
      <c r="S75" s="49"/>
      <c r="T75" s="49"/>
      <c r="U75" s="320"/>
      <c r="V75" s="66"/>
      <c r="W75" s="66"/>
      <c r="X75" s="66"/>
      <c r="Y75" s="66"/>
      <c r="Z75" s="66"/>
      <c r="AA75" s="66"/>
      <c r="AB75" s="66"/>
      <c r="AC75" s="66"/>
    </row>
    <row r="76" spans="2:29" ht="64.5" customHeight="1" x14ac:dyDescent="0.2">
      <c r="B76" s="46"/>
      <c r="C76" s="42"/>
      <c r="D76" s="49"/>
      <c r="E76" s="428" t="s">
        <v>442</v>
      </c>
      <c r="F76" s="428"/>
      <c r="G76" s="428"/>
      <c r="H76" s="428"/>
      <c r="I76" s="428"/>
      <c r="J76" s="428"/>
      <c r="K76" s="428"/>
      <c r="L76" s="428"/>
      <c r="M76" s="428"/>
      <c r="N76" s="428"/>
      <c r="O76" s="428"/>
      <c r="P76" s="428"/>
      <c r="Q76" s="428"/>
      <c r="R76" s="428"/>
      <c r="S76" s="428"/>
      <c r="T76" s="428"/>
      <c r="U76" s="320"/>
      <c r="V76" s="66"/>
      <c r="W76" s="66"/>
      <c r="X76" s="66"/>
      <c r="Y76" s="66"/>
      <c r="Z76" s="66"/>
      <c r="AA76" s="66"/>
      <c r="AB76" s="66"/>
      <c r="AC76" s="66"/>
    </row>
    <row r="77" spans="2:29" ht="15.75" x14ac:dyDescent="0.2">
      <c r="B77" s="46"/>
      <c r="C77" s="42"/>
      <c r="D77" s="49"/>
      <c r="E77" s="49"/>
      <c r="F77" s="49"/>
      <c r="G77" s="49"/>
      <c r="H77" s="49"/>
      <c r="I77" s="49"/>
      <c r="J77" s="49"/>
      <c r="K77" s="49"/>
      <c r="L77" s="49"/>
      <c r="M77" s="49"/>
      <c r="N77" s="49"/>
      <c r="O77" s="49"/>
      <c r="P77" s="49"/>
      <c r="Q77" s="49"/>
      <c r="R77" s="49"/>
      <c r="S77" s="49"/>
      <c r="T77" s="49"/>
      <c r="U77" s="320"/>
      <c r="V77" s="66"/>
      <c r="W77" s="66"/>
      <c r="X77" s="66"/>
      <c r="Y77" s="66"/>
      <c r="Z77" s="66"/>
      <c r="AA77" s="66"/>
      <c r="AB77" s="66"/>
      <c r="AC77" s="66"/>
    </row>
    <row r="78" spans="2:29" ht="15.75" x14ac:dyDescent="0.2">
      <c r="B78" s="46"/>
      <c r="C78" s="42"/>
      <c r="D78" s="49"/>
      <c r="E78" s="48" t="s">
        <v>27</v>
      </c>
      <c r="F78" s="49" t="s">
        <v>31</v>
      </c>
      <c r="G78" s="49"/>
      <c r="H78" s="49"/>
      <c r="I78" s="49"/>
      <c r="J78" s="49"/>
      <c r="K78" s="144" t="s">
        <v>2</v>
      </c>
      <c r="L78" s="144"/>
      <c r="M78" s="144" t="s">
        <v>2</v>
      </c>
      <c r="N78" s="144" t="s">
        <v>3</v>
      </c>
      <c r="O78" s="144"/>
      <c r="P78" s="144" t="s">
        <v>2</v>
      </c>
      <c r="Q78" s="144"/>
      <c r="R78" s="144" t="s">
        <v>3</v>
      </c>
      <c r="S78" s="144"/>
      <c r="T78" s="49"/>
      <c r="U78" s="320"/>
      <c r="V78" s="66"/>
      <c r="W78" s="66"/>
      <c r="X78" s="66"/>
      <c r="Y78" s="66"/>
      <c r="Z78" s="66"/>
      <c r="AA78" s="66"/>
      <c r="AB78" s="66"/>
      <c r="AC78" s="66"/>
    </row>
    <row r="79" spans="2:29" ht="15.75" x14ac:dyDescent="0.2">
      <c r="B79" s="46"/>
      <c r="C79" s="42"/>
      <c r="D79" s="49"/>
      <c r="E79" s="48"/>
      <c r="F79" s="49"/>
      <c r="G79" s="49"/>
      <c r="H79" s="49"/>
      <c r="I79" s="49"/>
      <c r="J79" s="49"/>
      <c r="K79" s="144" t="s">
        <v>436</v>
      </c>
      <c r="L79" s="144"/>
      <c r="M79" s="144" t="s">
        <v>437</v>
      </c>
      <c r="N79" s="49"/>
      <c r="O79" s="49"/>
      <c r="P79" s="144" t="s">
        <v>436</v>
      </c>
      <c r="Q79" s="144"/>
      <c r="R79" s="144" t="s">
        <v>437</v>
      </c>
      <c r="S79" s="144"/>
      <c r="T79" s="49"/>
      <c r="U79" s="320"/>
      <c r="V79" s="66"/>
      <c r="W79" s="66"/>
      <c r="X79" s="66"/>
      <c r="Y79" s="66"/>
      <c r="Z79" s="66"/>
      <c r="AA79" s="66"/>
      <c r="AB79" s="66"/>
      <c r="AC79" s="66"/>
    </row>
    <row r="80" spans="2:29" ht="15.75" x14ac:dyDescent="0.2">
      <c r="B80" s="46"/>
      <c r="C80" s="42"/>
      <c r="D80" s="49"/>
      <c r="E80" s="432" t="s">
        <v>32</v>
      </c>
      <c r="F80" s="432"/>
      <c r="G80" s="432"/>
      <c r="H80" s="432"/>
      <c r="I80" s="432"/>
      <c r="J80" s="144"/>
      <c r="K80" s="282"/>
      <c r="L80" s="327"/>
      <c r="M80" s="282"/>
      <c r="N80" s="240" t="s">
        <v>61</v>
      </c>
      <c r="O80" s="240"/>
      <c r="P80" s="268" t="e">
        <f>K80*($P$49-(-IF(K62&gt;0,K62,8)))</f>
        <v>#VALUE!</v>
      </c>
      <c r="Q80" s="264"/>
      <c r="R80" s="268" t="e">
        <f>M80*($R$49-(-IF(M62&gt;0,M62,930)))</f>
        <v>#VALUE!</v>
      </c>
      <c r="S80" s="240" t="s">
        <v>35</v>
      </c>
      <c r="T80" s="49"/>
      <c r="U80" s="320"/>
      <c r="V80" s="66"/>
      <c r="W80" s="66"/>
      <c r="X80" s="66"/>
      <c r="Y80" s="66"/>
      <c r="Z80" s="66"/>
      <c r="AA80" s="66"/>
      <c r="AB80" s="66"/>
      <c r="AC80" s="66"/>
    </row>
    <row r="81" spans="2:29" ht="15.75" x14ac:dyDescent="0.2">
      <c r="B81" s="46"/>
      <c r="C81" s="42"/>
      <c r="D81" s="49"/>
      <c r="E81" s="432" t="s">
        <v>489</v>
      </c>
      <c r="F81" s="432"/>
      <c r="G81" s="432"/>
      <c r="H81" s="432"/>
      <c r="I81" s="432"/>
      <c r="J81" s="144"/>
      <c r="K81" s="282"/>
      <c r="L81" s="327"/>
      <c r="M81" s="282"/>
      <c r="N81" s="240" t="s">
        <v>61</v>
      </c>
      <c r="O81" s="240"/>
      <c r="P81" s="268" t="e">
        <f>K81*($P$49-((IF(K16="Yes",IF('Stage 2'!$K$14="550-575",'Data Tables'!AK39,IF('Stage 2'!$K$14="575-600",'Data Tables'!AK40,IF('Stage 2'!$K$14="600-625",'Data Tables'!AK41,IF('Stage 2'!$K$14="625-650",'Data Tables'!AK42,IF('Stage 2'!$K$14="650-675",'Data Tables'!AK43,IF('Stage 2'!$K$14="675-700",'Data Tables'!AK44,IF('Stage 2'!$K$14="700-750",'Data Tables'!AK45,IF('Stage 2'!$K$14="750-800",'Data Tables'!AK46,IF('Stage 2'!$K$14="800-850",'Data Tables'!AK47,'Data Tables'!AK48))))))))),IF($Y$23="550-575",'Data Tables'!AK39,IF($Y$23="575-600",'Data Tables'!AK40,IF($Y$23="600-625",'Data Tables'!AK41,IF($Y$23="625-650",'Data Tables'!AK42,IF($Y$23="650-675",'Data Tables'!AK43,IF($Y$23="675-700",'Data Tables'!AK44,IF($Y$23="700-750",'Data Tables'!AK45,IF($Y$23="750-800",'Data Tables'!AK46,IF($Y$23="800-850",'Data Tables'!AK47,'Data Tables'!AK48)))))))))))))</f>
        <v>#VALUE!</v>
      </c>
      <c r="Q81" s="264"/>
      <c r="R81" s="268" t="e">
        <f>M81*($R$49-(IF(K16="Yes",IF('Stage 2'!$K$14="550-575",'Data Tables'!AL39,IF('Stage 2'!$K$14="575-600",'Data Tables'!AL40,IF('Stage 2'!$K$14="600-625",'Data Tables'!AL41,IF('Stage 2'!$K$14="625-650",'Data Tables'!AL42,IF('Stage 2'!$K$14="650-675",'Data Tables'!AL43,IF('Stage 2'!$K$14="675-700",'Data Tables'!AL44,IF('Stage 2'!$K$14="700-750",'Data Tables'!AL45,IF('Stage 2'!$K$14="750-800",'Data Tables'!AL46,IF('Stage 2'!$K$14="800-850",'Data Tables'!AL47,'Data Tables'!AL48))))))))),IF($Y$23="550-575",'Data Tables'!AL39,IF($Y$23="575-600",'Data Tables'!AL40,IF($Y$23="600-625",'Data Tables'!AL41,IF($Y$23="625-650",'Data Tables'!AL42,IF($Y$23="650-675",'Data Tables'!AL43,IF($Y$23="675-700",'Data Tables'!AL44,IF($Y$23="700-750",'Data Tables'!AL45,IF($Y$23="750-800",'Data Tables'!AL46,IF($Y$23="800-850",'Data Tables'!AL47,'Data Tables'!AL48))))))))))))</f>
        <v>#VALUE!</v>
      </c>
      <c r="S81" s="240" t="s">
        <v>35</v>
      </c>
      <c r="T81" s="49"/>
      <c r="U81" s="320"/>
      <c r="V81" s="66"/>
      <c r="W81" s="66"/>
      <c r="X81" s="66"/>
      <c r="Y81" s="66"/>
      <c r="Z81" s="66"/>
      <c r="AA81" s="66"/>
      <c r="AB81" s="66"/>
      <c r="AC81" s="66"/>
    </row>
    <row r="82" spans="2:29" ht="15.75" x14ac:dyDescent="0.2">
      <c r="B82" s="46"/>
      <c r="C82" s="42"/>
      <c r="D82" s="49"/>
      <c r="E82" s="432" t="s">
        <v>400</v>
      </c>
      <c r="F82" s="432"/>
      <c r="G82" s="432"/>
      <c r="H82" s="432"/>
      <c r="I82" s="432"/>
      <c r="J82" s="144"/>
      <c r="K82" s="282"/>
      <c r="L82" s="327"/>
      <c r="M82" s="282"/>
      <c r="N82" s="240" t="s">
        <v>61</v>
      </c>
      <c r="O82" s="240"/>
      <c r="P82" s="268" t="e">
        <f>K82*($P$49-'Data Tables'!O7)</f>
        <v>#VALUE!</v>
      </c>
      <c r="Q82" s="264"/>
      <c r="R82" s="268" t="e">
        <f>M82*($R$49-'Data Tables'!P7)</f>
        <v>#VALUE!</v>
      </c>
      <c r="S82" s="240" t="s">
        <v>35</v>
      </c>
      <c r="T82" s="49"/>
      <c r="U82" s="320"/>
      <c r="V82" s="66"/>
      <c r="W82" s="66"/>
      <c r="X82" s="66"/>
      <c r="Y82" s="66"/>
      <c r="Z82" s="66"/>
      <c r="AA82" s="66"/>
      <c r="AB82" s="66"/>
      <c r="AC82" s="66"/>
    </row>
    <row r="83" spans="2:29" ht="15.75" x14ac:dyDescent="0.2">
      <c r="B83" s="46"/>
      <c r="C83" s="42"/>
      <c r="D83" s="49"/>
      <c r="E83" s="432" t="s">
        <v>34</v>
      </c>
      <c r="F83" s="432"/>
      <c r="G83" s="432"/>
      <c r="H83" s="432"/>
      <c r="I83" s="432"/>
      <c r="J83" s="144"/>
      <c r="K83" s="282"/>
      <c r="L83" s="327"/>
      <c r="M83" s="282"/>
      <c r="N83" s="240" t="s">
        <v>61</v>
      </c>
      <c r="O83" s="240"/>
      <c r="P83" s="268" t="e">
        <f>K83*($P$49-'Data Tables'!O5)</f>
        <v>#VALUE!</v>
      </c>
      <c r="Q83" s="264"/>
      <c r="R83" s="268" t="e">
        <f>M83*($R$49-'Data Tables'!P5)</f>
        <v>#VALUE!</v>
      </c>
      <c r="S83" s="240" t="s">
        <v>35</v>
      </c>
      <c r="T83" s="49"/>
      <c r="U83" s="320"/>
      <c r="V83" s="66"/>
      <c r="W83" s="66"/>
      <c r="X83" s="66"/>
      <c r="Y83" s="66"/>
      <c r="Z83" s="66"/>
      <c r="AA83" s="66"/>
      <c r="AB83" s="66"/>
      <c r="AC83" s="66"/>
    </row>
    <row r="84" spans="2:29" ht="15.75" x14ac:dyDescent="0.2">
      <c r="B84" s="46"/>
      <c r="C84" s="42"/>
      <c r="D84" s="49"/>
      <c r="E84" s="432" t="s">
        <v>245</v>
      </c>
      <c r="F84" s="432"/>
      <c r="G84" s="432"/>
      <c r="H84" s="432"/>
      <c r="I84" s="432"/>
      <c r="J84" s="144"/>
      <c r="K84" s="282"/>
      <c r="L84" s="327"/>
      <c r="M84" s="282"/>
      <c r="N84" s="240" t="s">
        <v>61</v>
      </c>
      <c r="O84" s="240"/>
      <c r="P84" s="268" t="e">
        <f>K84*($P$49-'Data Tables'!O6)</f>
        <v>#VALUE!</v>
      </c>
      <c r="Q84" s="264"/>
      <c r="R84" s="268" t="e">
        <f>M84*($R$49-'Data Tables'!P6)</f>
        <v>#VALUE!</v>
      </c>
      <c r="S84" s="240" t="s">
        <v>35</v>
      </c>
      <c r="T84" s="49"/>
      <c r="U84" s="320"/>
      <c r="V84" s="66"/>
      <c r="W84" s="66"/>
      <c r="X84" s="66"/>
      <c r="Y84" s="66"/>
      <c r="Z84" s="66"/>
      <c r="AA84" s="66"/>
      <c r="AB84" s="66"/>
      <c r="AC84" s="66"/>
    </row>
    <row r="85" spans="2:29" ht="15.75" x14ac:dyDescent="0.2">
      <c r="B85" s="46"/>
      <c r="C85" s="42"/>
      <c r="D85" s="49"/>
      <c r="E85" s="432" t="s">
        <v>439</v>
      </c>
      <c r="F85" s="432"/>
      <c r="G85" s="432"/>
      <c r="H85" s="432"/>
      <c r="I85" s="432"/>
      <c r="J85" s="144"/>
      <c r="K85" s="282"/>
      <c r="L85" s="327"/>
      <c r="M85" s="282"/>
      <c r="N85" s="240" t="s">
        <v>61</v>
      </c>
      <c r="O85" s="240"/>
      <c r="P85" s="268" t="e">
        <f>K85*($P$49-'Data Tables'!O4)</f>
        <v>#VALUE!</v>
      </c>
      <c r="Q85" s="264"/>
      <c r="R85" s="268" t="e">
        <f>M85*($R$49-'Data Tables'!P4)</f>
        <v>#VALUE!</v>
      </c>
      <c r="S85" s="240" t="s">
        <v>35</v>
      </c>
      <c r="T85" s="49"/>
      <c r="U85" s="320"/>
      <c r="V85" s="66"/>
      <c r="W85" s="66"/>
      <c r="X85" s="66"/>
      <c r="Y85" s="66"/>
      <c r="Z85" s="66"/>
      <c r="AA85" s="66"/>
      <c r="AB85" s="66"/>
      <c r="AC85" s="66"/>
    </row>
    <row r="86" spans="2:29" ht="30" customHeight="1" x14ac:dyDescent="0.2">
      <c r="B86" s="46"/>
      <c r="C86" s="42"/>
      <c r="D86" s="49"/>
      <c r="E86" s="49"/>
      <c r="F86" s="49"/>
      <c r="G86" s="49"/>
      <c r="H86" s="49"/>
      <c r="I86" s="49"/>
      <c r="J86" s="49"/>
      <c r="K86" s="328"/>
      <c r="L86" s="328"/>
      <c r="M86" s="328"/>
      <c r="N86" s="240"/>
      <c r="O86" s="240"/>
      <c r="P86" s="240"/>
      <c r="Q86" s="240"/>
      <c r="R86" s="240"/>
      <c r="S86" s="240"/>
      <c r="T86" s="49"/>
      <c r="U86" s="320"/>
      <c r="V86" s="66"/>
      <c r="W86" s="66"/>
      <c r="X86" s="66"/>
      <c r="Y86" s="66"/>
      <c r="Z86" s="66"/>
      <c r="AA86" s="66"/>
      <c r="AB86" s="66"/>
      <c r="AC86" s="66"/>
    </row>
    <row r="87" spans="2:29" ht="29.45" customHeight="1" x14ac:dyDescent="0.2">
      <c r="B87" s="46"/>
      <c r="C87" s="42"/>
      <c r="D87" s="49"/>
      <c r="E87" s="49"/>
      <c r="F87" s="382" t="s">
        <v>64</v>
      </c>
      <c r="G87" s="382"/>
      <c r="H87" s="382"/>
      <c r="I87" s="382"/>
      <c r="J87" s="49"/>
      <c r="K87" s="290">
        <f>(SUM(K80:K85))</f>
        <v>0</v>
      </c>
      <c r="L87" s="326"/>
      <c r="M87" s="290">
        <f>(SUM(M80:M85))</f>
        <v>0</v>
      </c>
      <c r="N87" s="246" t="s">
        <v>61</v>
      </c>
      <c r="O87" s="246"/>
      <c r="P87" s="273" t="e">
        <f>K10-(SUM(P80:P85))</f>
        <v>#VALUE!</v>
      </c>
      <c r="Q87" s="269"/>
      <c r="R87" s="273" t="e">
        <f>K11-(SUM(R80:R85))</f>
        <v>#VALUE!</v>
      </c>
      <c r="S87" s="246" t="s">
        <v>15</v>
      </c>
      <c r="T87" s="49"/>
      <c r="U87" s="320"/>
      <c r="V87" s="66"/>
      <c r="W87" s="66"/>
      <c r="X87" s="66"/>
      <c r="Y87" s="66"/>
      <c r="Z87" s="66"/>
      <c r="AA87" s="66"/>
      <c r="AB87" s="66"/>
      <c r="AC87" s="66"/>
    </row>
    <row r="88" spans="2:29" ht="15" customHeight="1" x14ac:dyDescent="0.2">
      <c r="B88" s="46"/>
      <c r="C88" s="42"/>
      <c r="D88" s="49"/>
      <c r="E88" s="49"/>
      <c r="F88" s="49"/>
      <c r="G88" s="49"/>
      <c r="H88" s="49"/>
      <c r="I88" s="49"/>
      <c r="J88" s="49"/>
      <c r="K88" s="49"/>
      <c r="L88" s="49"/>
      <c r="M88" s="49"/>
      <c r="N88" s="49"/>
      <c r="O88" s="49"/>
      <c r="P88" s="49"/>
      <c r="Q88" s="49"/>
      <c r="R88" s="49"/>
      <c r="S88" s="49"/>
      <c r="T88" s="49"/>
      <c r="U88" s="320"/>
      <c r="V88" s="66"/>
      <c r="W88" s="66"/>
      <c r="X88" s="66"/>
      <c r="Y88" s="66"/>
      <c r="Z88" s="66"/>
      <c r="AA88" s="66"/>
      <c r="AB88" s="66"/>
      <c r="AC88" s="66"/>
    </row>
    <row r="89" spans="2:29" ht="45.6" customHeight="1" thickBot="1" x14ac:dyDescent="0.25">
      <c r="B89" s="50"/>
      <c r="C89" s="51"/>
      <c r="D89" s="318"/>
      <c r="E89" s="448" t="s">
        <v>443</v>
      </c>
      <c r="F89" s="448"/>
      <c r="G89" s="448"/>
      <c r="H89" s="448"/>
      <c r="I89" s="448"/>
      <c r="J89" s="448"/>
      <c r="K89" s="448"/>
      <c r="L89" s="448"/>
      <c r="M89" s="448"/>
      <c r="N89" s="448"/>
      <c r="O89" s="448"/>
      <c r="P89" s="448"/>
      <c r="Q89" s="448"/>
      <c r="R89" s="448"/>
      <c r="S89" s="448"/>
      <c r="T89" s="448"/>
      <c r="U89" s="329"/>
      <c r="V89" s="66"/>
      <c r="W89" s="66"/>
      <c r="X89" s="66"/>
      <c r="Y89" s="66"/>
      <c r="Z89" s="66"/>
      <c r="AA89" s="66"/>
      <c r="AB89" s="66"/>
      <c r="AC89" s="66"/>
    </row>
    <row r="90" spans="2:29" ht="18" customHeight="1" x14ac:dyDescent="0.2">
      <c r="B90" s="40"/>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row>
    <row r="91" spans="2:29" x14ac:dyDescent="0.2"/>
    <row r="92" spans="2:29" x14ac:dyDescent="0.2"/>
    <row r="93" spans="2:29" x14ac:dyDescent="0.2"/>
    <row r="94" spans="2:29" x14ac:dyDescent="0.2"/>
    <row r="95" spans="2:29" x14ac:dyDescent="0.2"/>
    <row r="96" spans="2:29" x14ac:dyDescent="0.2"/>
    <row r="97" x14ac:dyDescent="0.2"/>
    <row r="98" x14ac:dyDescent="0.2"/>
  </sheetData>
  <sheetProtection algorithmName="SHA-512" hashValue="bcpp96cW3QvWM5UiAhY+pXRz75nkvnJk8F3Smu3KpBv4iPuPIpfyL5UCgb1knSYdkgARPp2UJq8NT24nLF6NsA==" saltValue="cEGI/bZMLlWl9atStQI3VA==" spinCount="100000" sheet="1" objects="1" scenarios="1" selectLockedCells="1"/>
  <mergeCells count="83">
    <mergeCell ref="E85:I85"/>
    <mergeCell ref="F87:I87"/>
    <mergeCell ref="E89:T89"/>
    <mergeCell ref="E76:T76"/>
    <mergeCell ref="E80:I80"/>
    <mergeCell ref="E81:I81"/>
    <mergeCell ref="E82:I82"/>
    <mergeCell ref="E83:I83"/>
    <mergeCell ref="E84:I84"/>
    <mergeCell ref="F74:I74"/>
    <mergeCell ref="E58:I58"/>
    <mergeCell ref="E59:I59"/>
    <mergeCell ref="F61:J61"/>
    <mergeCell ref="G62:J62"/>
    <mergeCell ref="E63:T63"/>
    <mergeCell ref="E67:I67"/>
    <mergeCell ref="E68:I68"/>
    <mergeCell ref="E69:I69"/>
    <mergeCell ref="E70:I70"/>
    <mergeCell ref="E71:I71"/>
    <mergeCell ref="E72:I72"/>
    <mergeCell ref="E57:I57"/>
    <mergeCell ref="E43:I43"/>
    <mergeCell ref="T43:X43"/>
    <mergeCell ref="E44:I44"/>
    <mergeCell ref="T44:X44"/>
    <mergeCell ref="E46:I46"/>
    <mergeCell ref="T46:X46"/>
    <mergeCell ref="I49:O49"/>
    <mergeCell ref="F52:J52"/>
    <mergeCell ref="E54:I54"/>
    <mergeCell ref="E55:I55"/>
    <mergeCell ref="E56:I56"/>
    <mergeCell ref="E40:I40"/>
    <mergeCell ref="T40:X40"/>
    <mergeCell ref="E41:I41"/>
    <mergeCell ref="T41:X41"/>
    <mergeCell ref="E42:I42"/>
    <mergeCell ref="T42:X42"/>
    <mergeCell ref="E37:I37"/>
    <mergeCell ref="T37:X37"/>
    <mergeCell ref="E38:I38"/>
    <mergeCell ref="T38:X38"/>
    <mergeCell ref="E39:I39"/>
    <mergeCell ref="T39:X39"/>
    <mergeCell ref="E34:I34"/>
    <mergeCell ref="T34:X34"/>
    <mergeCell ref="E35:I35"/>
    <mergeCell ref="T35:X35"/>
    <mergeCell ref="E36:I36"/>
    <mergeCell ref="T36:X36"/>
    <mergeCell ref="E31:I31"/>
    <mergeCell ref="T31:X31"/>
    <mergeCell ref="E32:I32"/>
    <mergeCell ref="T32:X32"/>
    <mergeCell ref="E33:I33"/>
    <mergeCell ref="T33:X33"/>
    <mergeCell ref="E28:I28"/>
    <mergeCell ref="T28:X28"/>
    <mergeCell ref="E29:I29"/>
    <mergeCell ref="T29:X29"/>
    <mergeCell ref="E30:I30"/>
    <mergeCell ref="T30:X30"/>
    <mergeCell ref="E27:I27"/>
    <mergeCell ref="T27:X27"/>
    <mergeCell ref="E18:O18"/>
    <mergeCell ref="T18:Z18"/>
    <mergeCell ref="T19:Z19"/>
    <mergeCell ref="F20:J20"/>
    <mergeCell ref="T21:X21"/>
    <mergeCell ref="F22:J22"/>
    <mergeCell ref="T22:X22"/>
    <mergeCell ref="T23:X23"/>
    <mergeCell ref="T24:X24"/>
    <mergeCell ref="R25:AC25"/>
    <mergeCell ref="F26:J26"/>
    <mergeCell ref="T26:X26"/>
    <mergeCell ref="F3:T3"/>
    <mergeCell ref="E4:T6"/>
    <mergeCell ref="F8:J8"/>
    <mergeCell ref="F14:J14"/>
    <mergeCell ref="K16:M16"/>
    <mergeCell ref="T16:X16"/>
  </mergeCells>
  <dataValidations count="4">
    <dataValidation type="list" allowBlank="1" showInputMessage="1" showErrorMessage="1" sqref="Y23" xr:uid="{254E5D87-852B-4D56-BCEE-347DA565BE15}">
      <formula1>"550-575,575-600,600-625,625-650,650-675,675-700,700-750,750-800,800-850,850-900"</formula1>
    </dataValidation>
    <dataValidation type="list" allowBlank="1" showInputMessage="1" showErrorMessage="1" sqref="Y22" xr:uid="{79E7B94E-1899-47CF-BC45-08A17F5EEA74}">
      <formula1>"Freely draining, Impermeable - drained for arable, Impermeable - drained for arable and grassland"</formula1>
    </dataValidation>
    <dataValidation type="list" allowBlank="1" showInputMessage="1" showErrorMessage="1" sqref="Y21" xr:uid="{DA4F2BE8-095D-4B75-B259-EEF23248B638}">
      <formula1>"Wensum, Yare, Bure"</formula1>
    </dataValidation>
    <dataValidation type="list" allowBlank="1" showInputMessage="1" showErrorMessage="1" sqref="Y16 N22:N24 K16:L16 Y24 N27:N44 Y27:Y44" xr:uid="{33322707-8619-4676-B7FA-7EF7DB66C65C}">
      <formula1>"Yes,No"</formula1>
    </dataValidation>
  </dataValidations>
  <pageMargins left="0.25" right="0.25" top="0.75" bottom="0.75" header="0.3" footer="0.3"/>
  <pageSetup paperSize="9" scale="45" orientation="portrait" horizontalDpi="360" verticalDpi="360" r:id="rId1"/>
  <headerFooter>
    <oddHeader>&amp;LPhosphate Budget Calculator&amp;CStage 5</oddHeader>
    <oddFooter>&amp;LVersion 2.2&amp;R&amp;D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25</vt:i4>
      </vt:variant>
    </vt:vector>
  </HeadingPairs>
  <TitlesOfParts>
    <vt:vector size="39" baseType="lpstr">
      <vt:lpstr>Introduction</vt:lpstr>
      <vt:lpstr>Info</vt:lpstr>
      <vt:lpstr>Stage 1</vt:lpstr>
      <vt:lpstr>Stage 2</vt:lpstr>
      <vt:lpstr>Stage 3</vt:lpstr>
      <vt:lpstr>Stage 4</vt:lpstr>
      <vt:lpstr>Mitigation - current</vt:lpstr>
      <vt:lpstr>Mitigation - post 2025</vt:lpstr>
      <vt:lpstr>Mitigation - post 2030</vt:lpstr>
      <vt:lpstr>Mitigation comparison</vt:lpstr>
      <vt:lpstr>Zero value Calc</vt:lpstr>
      <vt:lpstr>Graph Calculations</vt:lpstr>
      <vt:lpstr>Rainfall</vt:lpstr>
      <vt:lpstr>Data Tables</vt:lpstr>
      <vt:lpstr>'Mitigation - post 2025'!OsTWs</vt:lpstr>
      <vt:lpstr>'Mitigation - post 2030'!OsTWs</vt:lpstr>
      <vt:lpstr>OsTWs</vt:lpstr>
      <vt:lpstr>permit</vt:lpstr>
      <vt:lpstr>permits</vt:lpstr>
      <vt:lpstr>permits_2030</vt:lpstr>
      <vt:lpstr>'Data Tables'!Print_Area</vt:lpstr>
      <vt:lpstr>'Graph Calculations'!Print_Area</vt:lpstr>
      <vt:lpstr>Info!Print_Area</vt:lpstr>
      <vt:lpstr>Introduction!Print_Area</vt:lpstr>
      <vt:lpstr>'Mitigation - current'!Print_Area</vt:lpstr>
      <vt:lpstr>'Mitigation - post 2025'!Print_Area</vt:lpstr>
      <vt:lpstr>'Mitigation - post 2030'!Print_Area</vt:lpstr>
      <vt:lpstr>'Mitigation comparison'!Print_Area</vt:lpstr>
      <vt:lpstr>'Stage 1'!Print_Area</vt:lpstr>
      <vt:lpstr>'Stage 2'!Print_Area</vt:lpstr>
      <vt:lpstr>'Stage 3'!Print_Area</vt:lpstr>
      <vt:lpstr>'Stage 4'!Print_Area</vt:lpstr>
      <vt:lpstr>'Zero value Calc'!Print_Area</vt:lpstr>
      <vt:lpstr>'Data Tables'!Print_Titles</vt:lpstr>
      <vt:lpstr>w</vt:lpstr>
      <vt:lpstr>Wastewater</vt:lpstr>
      <vt:lpstr>WwTW</vt:lpstr>
      <vt:lpstr>WwTWs</vt:lpstr>
      <vt:lpstr>'Zero value Calc'!Yes</vt:lpstr>
    </vt:vector>
  </TitlesOfParts>
  <Company>Royal HaskoningDHV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Oliver Bowers</dc:creator>
  <cp:lastModifiedBy>Peter Hadfield</cp:lastModifiedBy>
  <cp:lastPrinted>2021-01-24T14:08:25Z</cp:lastPrinted>
  <dcterms:created xsi:type="dcterms:W3CDTF">2020-11-21T09:26:11Z</dcterms:created>
  <dcterms:modified xsi:type="dcterms:W3CDTF">2023-02-03T08:37:21Z</dcterms:modified>
</cp:coreProperties>
</file>